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glianwater-my.sharepoint.com/personal/lgibson_anglianwater_co_uk/Documents/Desktop/"/>
    </mc:Choice>
  </mc:AlternateContent>
  <xr:revisionPtr revIDLastSave="35" documentId="8_{D439D278-C74B-446B-A2D8-4762E7D3BB7B}" xr6:coauthVersionLast="47" xr6:coauthVersionMax="47" xr10:uidLastSave="{FCA43FB1-E8A0-4088-8B63-75F6CC38DE6E}"/>
  <bookViews>
    <workbookView xWindow="-110" yWindow="-110" windowWidth="22780" windowHeight="14660" firstSheet="1" activeTab="2" xr2:uid="{00000000-000D-0000-FFFF-FFFF00000000}"/>
  </bookViews>
  <sheets>
    <sheet name="Example" sheetId="3" r:id="rId1"/>
    <sheet name="Charges" sheetId="2" r:id="rId2"/>
    <sheet name="Factor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L9" i="1"/>
  <c r="L8" i="1"/>
  <c r="L7" i="1"/>
  <c r="L6" i="1"/>
  <c r="K9" i="1"/>
  <c r="K8" i="1"/>
  <c r="K7" i="1"/>
  <c r="K6" i="1"/>
  <c r="J9" i="1"/>
  <c r="H11" i="3" s="1"/>
  <c r="J8" i="1"/>
  <c r="J7" i="1"/>
  <c r="J6" i="1"/>
  <c r="I9" i="1"/>
  <c r="I8" i="1"/>
  <c r="I7" i="1"/>
  <c r="I6" i="1"/>
  <c r="H9" i="1"/>
  <c r="H8" i="1"/>
  <c r="H7" i="1"/>
  <c r="H6" i="1"/>
  <c r="L11" i="3"/>
  <c r="D11" i="3"/>
  <c r="B11" i="3"/>
  <c r="H22" i="3" l="1"/>
  <c r="J22" i="3"/>
  <c r="H25" i="3" s="1"/>
  <c r="H27" i="3" s="1"/>
  <c r="H30" i="3" s="1"/>
  <c r="B22" i="3"/>
  <c r="F11" i="3"/>
  <c r="F14" i="3"/>
  <c r="J11" i="3"/>
  <c r="J14" i="3"/>
  <c r="B14" i="3"/>
  <c r="D14" i="3"/>
  <c r="R22" i="3"/>
  <c r="P22" i="3"/>
  <c r="R23" i="3"/>
  <c r="X22" i="3"/>
  <c r="V25" i="3" s="1"/>
  <c r="V27" i="3" s="1"/>
  <c r="V30" i="3" s="1"/>
  <c r="V22" i="3"/>
  <c r="X23" i="3"/>
  <c r="L22" i="3"/>
  <c r="N22" i="3"/>
  <c r="L25" i="3" s="1"/>
  <c r="L27" i="3" s="1"/>
  <c r="L30" i="3" s="1"/>
  <c r="F30" i="3"/>
  <c r="C30" i="3"/>
  <c r="B27" i="3"/>
  <c r="B30" i="3" s="1"/>
  <c r="U27" i="3"/>
  <c r="O27" i="3"/>
  <c r="F25" i="3"/>
  <c r="C25" i="3"/>
  <c r="B25" i="3"/>
  <c r="A22" i="3"/>
  <c r="A25" i="3"/>
  <c r="A14" i="3"/>
  <c r="A16" i="3" s="1"/>
  <c r="I14" i="3"/>
  <c r="E14" i="3"/>
  <c r="C14" i="3"/>
  <c r="A11" i="3"/>
  <c r="L39" i="2"/>
  <c r="C21" i="2"/>
  <c r="C22" i="2"/>
  <c r="K39" i="2"/>
  <c r="F26" i="2" s="1"/>
  <c r="C33" i="2"/>
  <c r="F21" i="2"/>
  <c r="F22" i="2"/>
  <c r="F33" i="2"/>
  <c r="D21" i="2"/>
  <c r="D22" i="2"/>
  <c r="D33" i="2"/>
  <c r="E21" i="2"/>
  <c r="E22" i="2"/>
  <c r="E33" i="2"/>
  <c r="E31" i="2"/>
  <c r="F31" i="2"/>
  <c r="C31" i="2"/>
  <c r="D31" i="2"/>
  <c r="C23" i="2"/>
  <c r="D23" i="2"/>
  <c r="P25" i="3" l="1"/>
  <c r="P27" i="3" s="1"/>
  <c r="P30" i="3" s="1"/>
  <c r="C26" i="2"/>
  <c r="F23" i="2"/>
  <c r="F28" i="2" s="1"/>
  <c r="D24" i="2"/>
  <c r="C24" i="2"/>
  <c r="D26" i="2"/>
  <c r="E26" i="2"/>
  <c r="E24" i="2"/>
  <c r="F24" i="2"/>
  <c r="E23" i="2"/>
  <c r="E28" i="2" s="1"/>
  <c r="F35" i="2"/>
  <c r="B16" i="3"/>
  <c r="D22" i="3" s="1"/>
  <c r="D25" i="3" s="1"/>
  <c r="C35" i="2"/>
  <c r="E35" i="2"/>
  <c r="D35" i="2"/>
  <c r="D28" i="2"/>
  <c r="D37" i="2" s="1"/>
  <c r="C28" i="2"/>
  <c r="E37" i="2" l="1"/>
  <c r="C37" i="2"/>
  <c r="C39" i="2" s="1"/>
  <c r="B33" i="3"/>
  <c r="P33" i="3" s="1"/>
  <c r="D27" i="3"/>
  <c r="D30" i="3" s="1"/>
  <c r="F37" i="2"/>
  <c r="E39" i="2" l="1"/>
  <c r="F39" i="2"/>
  <c r="D39" i="2"/>
  <c r="B36" i="3"/>
  <c r="L33" i="3"/>
  <c r="V33" i="3"/>
  <c r="P34" i="3" s="1"/>
  <c r="H33" i="3"/>
  <c r="H34" i="3" l="1"/>
</calcChain>
</file>

<file path=xl/sharedStrings.xml><?xml version="1.0" encoding="utf-8"?>
<sst xmlns="http://schemas.openxmlformats.org/spreadsheetml/2006/main" count="172" uniqueCount="82">
  <si>
    <t>The Mogden Trade Effluent Charges Formula</t>
  </si>
  <si>
    <t>Tariff =</t>
  </si>
  <si>
    <t>Industrial</t>
  </si>
  <si>
    <t>Trader's average suspended solids (St) =</t>
  </si>
  <si>
    <t>mg/l</t>
  </si>
  <si>
    <t>Insert SS</t>
  </si>
  <si>
    <t>R</t>
  </si>
  <si>
    <t>=</t>
  </si>
  <si>
    <t>Unit cost for conveyance and reception (pence/cubic metre)</t>
  </si>
  <si>
    <t>Trader's average settled COD (Ot) =</t>
  </si>
  <si>
    <t>Insert COD</t>
  </si>
  <si>
    <t>V(B)</t>
  </si>
  <si>
    <t>Unit cost for Treatment Work's capital investment - including provision for biological treatment (pence/cubic metre)</t>
  </si>
  <si>
    <t>Volume discharge in period =</t>
  </si>
  <si>
    <t>m3</t>
  </si>
  <si>
    <t>Insert Volumes</t>
  </si>
  <si>
    <t>B</t>
  </si>
  <si>
    <t>Unit cost for biological operational treatment (pence/cubic metre)</t>
  </si>
  <si>
    <t xml:space="preserve">Trade Effluent Treatment Cost = </t>
  </si>
  <si>
    <t>+</t>
  </si>
  <si>
    <t>St</t>
  </si>
  <si>
    <t>x</t>
  </si>
  <si>
    <t>S</t>
  </si>
  <si>
    <t>Ot</t>
  </si>
  <si>
    <t>Ss</t>
  </si>
  <si>
    <t>Os</t>
  </si>
  <si>
    <t>Unit cost for sludge treatment and disposal (pence/cubic metre)</t>
  </si>
  <si>
    <t>Average Settled Sewage COD (mg/l)</t>
  </si>
  <si>
    <t>Average Settled COD of the trade effluent (mg/l)</t>
  </si>
  <si>
    <t>Average Crude Sewage Suspended Solids content (mg/l)</t>
  </si>
  <si>
    <t>Average Suspended Solids content of the trade effluent (mg/l)</t>
  </si>
  <si>
    <t>p/m3</t>
  </si>
  <si>
    <t>Total Trade Effluent Charge (p/m3) =</t>
  </si>
  <si>
    <t>Volume</t>
  </si>
  <si>
    <t>TETC</t>
  </si>
  <si>
    <t>or</t>
  </si>
  <si>
    <t>O</t>
  </si>
  <si>
    <t>Total Trade Effluent Charge (£) =</t>
  </si>
  <si>
    <t>Total Trade Effluent Charge =</t>
  </si>
  <si>
    <t>Percentage of total:</t>
  </si>
  <si>
    <t xml:space="preserve">Fixed Charge = </t>
  </si>
  <si>
    <t xml:space="preserve">Total inc Industrial Fixed Charge = </t>
  </si>
  <si>
    <t>Sample Results</t>
  </si>
  <si>
    <t>Is the premises connected to AW surface water drainage (yes/no)?</t>
  </si>
  <si>
    <t>Status</t>
  </si>
  <si>
    <t>Date</t>
  </si>
  <si>
    <t>S.Solids</t>
  </si>
  <si>
    <t>COD</t>
  </si>
  <si>
    <t>Number of months in this charging period</t>
  </si>
  <si>
    <t>Water consumption m3</t>
  </si>
  <si>
    <t>Head-count from questionnaire</t>
  </si>
  <si>
    <t>No of days worked in the period</t>
  </si>
  <si>
    <t>Domestic consumption m3</t>
  </si>
  <si>
    <t>Domestic sewerage volume m3</t>
  </si>
  <si>
    <t>TE Volume m3</t>
  </si>
  <si>
    <t>Trade Effluent Charge</t>
  </si>
  <si>
    <t>Green</t>
  </si>
  <si>
    <t>Orange</t>
  </si>
  <si>
    <t>Blue</t>
  </si>
  <si>
    <t>£</t>
  </si>
  <si>
    <t>Conveyance (R)  p/m3</t>
  </si>
  <si>
    <t>Volumetric (VB) p/m3</t>
  </si>
  <si>
    <t>Biological Treatment (B)  p/m3</t>
  </si>
  <si>
    <t>Solids Treatment (S)  p/m3</t>
  </si>
  <si>
    <t>Treatment Cost p/m3</t>
  </si>
  <si>
    <t>TE Charge</t>
  </si>
  <si>
    <t>Domestic Charge</t>
  </si>
  <si>
    <t>Volume charge</t>
  </si>
  <si>
    <t>Fixed charge</t>
  </si>
  <si>
    <t>Total Sewerage charge</t>
  </si>
  <si>
    <t>Total Bill</t>
  </si>
  <si>
    <t>Best Option is</t>
  </si>
  <si>
    <t>Mean:</t>
  </si>
  <si>
    <t>Os mg/l</t>
  </si>
  <si>
    <t>Ss mg/l</t>
  </si>
  <si>
    <t>TE fixed charge £</t>
  </si>
  <si>
    <t>Domestic sewerage charge rate p/m3</t>
  </si>
  <si>
    <t>Fixed Charge (with Surface Water Sewerage)</t>
  </si>
  <si>
    <t>Fixed Charge (without Surface Water Sewerage)</t>
  </si>
  <si>
    <t>Minimum charge</t>
  </si>
  <si>
    <t>Charging Factors</t>
  </si>
  <si>
    <t>Charging Factors (23/24)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</si>
</sst>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.0%"/>
  </numFmts>
  <fonts count="16">
    <font>
      <sz val="10"/>
      <name val="Frutiger 55 Roman"/>
    </font>
    <font>
      <b/>
      <sz val="10"/>
      <name val="Frutiger 55 Roman"/>
    </font>
    <font>
      <b/>
      <u/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color indexed="13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Frutiger 55 Roman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5" fillId="0" borderId="19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right" vertical="top" wrapText="1"/>
    </xf>
    <xf numFmtId="8" fontId="4" fillId="0" borderId="0" xfId="0" applyNumberFormat="1" applyFont="1" applyFill="1"/>
    <xf numFmtId="0" fontId="3" fillId="0" borderId="0" xfId="0" applyFont="1" applyFill="1"/>
    <xf numFmtId="2" fontId="6" fillId="0" borderId="0" xfId="0" applyNumberFormat="1" applyFont="1" applyFill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3" borderId="24" xfId="0" applyFont="1" applyFill="1" applyBorder="1"/>
    <xf numFmtId="0" fontId="4" fillId="3" borderId="25" xfId="0" applyFont="1" applyFill="1" applyBorder="1"/>
    <xf numFmtId="0" fontId="4" fillId="3" borderId="0" xfId="0" applyFont="1" applyFill="1"/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2" fontId="4" fillId="3" borderId="22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0" xfId="0" applyFont="1" applyFill="1"/>
    <xf numFmtId="2" fontId="4" fillId="2" borderId="28" xfId="0" applyNumberFormat="1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/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2" fillId="0" borderId="0" xfId="0" applyFont="1" applyFill="1" applyAlignment="1">
      <alignment horizontal="left"/>
    </xf>
    <xf numFmtId="0" fontId="12" fillId="0" borderId="29" xfId="0" applyFont="1" applyFill="1" applyBorder="1"/>
    <xf numFmtId="0" fontId="12" fillId="0" borderId="0" xfId="0" applyFont="1" applyFill="1"/>
    <xf numFmtId="164" fontId="5" fillId="0" borderId="0" xfId="0" applyNumberFormat="1" applyFont="1" applyFill="1"/>
    <xf numFmtId="164" fontId="5" fillId="0" borderId="0" xfId="0" applyNumberFormat="1" applyFont="1"/>
    <xf numFmtId="0" fontId="4" fillId="0" borderId="30" xfId="0" applyFont="1" applyBorder="1"/>
    <xf numFmtId="0" fontId="4" fillId="0" borderId="31" xfId="0" applyFont="1" applyBorder="1" applyAlignment="1">
      <alignment horizontal="right" wrapText="1"/>
    </xf>
    <xf numFmtId="0" fontId="4" fillId="0" borderId="31" xfId="0" applyFont="1" applyBorder="1" applyAlignment="1">
      <alignment wrapText="1"/>
    </xf>
    <xf numFmtId="0" fontId="4" fillId="0" borderId="32" xfId="0" applyFont="1" applyBorder="1" applyAlignment="1">
      <alignment horizontal="right" wrapText="1"/>
    </xf>
    <xf numFmtId="0" fontId="4" fillId="0" borderId="1" xfId="0" applyFont="1" applyBorder="1"/>
    <xf numFmtId="0" fontId="4" fillId="0" borderId="34" xfId="0" applyFont="1" applyBorder="1"/>
    <xf numFmtId="2" fontId="4" fillId="0" borderId="0" xfId="0" applyNumberFormat="1" applyFont="1" applyAlignment="1">
      <alignment horizontal="right" vertical="top" wrapText="1"/>
    </xf>
    <xf numFmtId="2" fontId="4" fillId="0" borderId="35" xfId="0" applyNumberFormat="1" applyFont="1" applyBorder="1" applyAlignment="1">
      <alignment horizontal="right" vertical="top" wrapText="1"/>
    </xf>
    <xf numFmtId="2" fontId="4" fillId="0" borderId="0" xfId="0" applyNumberFormat="1" applyFont="1"/>
    <xf numFmtId="2" fontId="4" fillId="0" borderId="35" xfId="0" applyNumberFormat="1" applyFont="1" applyBorder="1"/>
    <xf numFmtId="2" fontId="4" fillId="0" borderId="33" xfId="0" applyNumberFormat="1" applyFont="1" applyBorder="1" applyAlignment="1">
      <alignment horizontal="right" vertical="top" wrapText="1"/>
    </xf>
    <xf numFmtId="2" fontId="4" fillId="0" borderId="36" xfId="0" applyNumberFormat="1" applyFont="1" applyBorder="1" applyAlignment="1">
      <alignment horizontal="right" vertical="top" wrapText="1"/>
    </xf>
    <xf numFmtId="0" fontId="13" fillId="0" borderId="37" xfId="0" applyFont="1" applyFill="1" applyBorder="1" applyAlignment="1">
      <alignment horizontal="right"/>
    </xf>
    <xf numFmtId="0" fontId="12" fillId="0" borderId="38" xfId="0" applyFont="1" applyFill="1" applyBorder="1"/>
    <xf numFmtId="0" fontId="7" fillId="0" borderId="0" xfId="0" applyFont="1" applyFill="1"/>
    <xf numFmtId="0" fontId="4" fillId="0" borderId="0" xfId="0" applyFont="1" applyAlignment="1">
      <alignment wrapText="1"/>
    </xf>
    <xf numFmtId="0" fontId="0" fillId="0" borderId="0" xfId="0" applyAlignment="1"/>
    <xf numFmtId="165" fontId="4" fillId="2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 vertical="top" wrapText="1"/>
    </xf>
    <xf numFmtId="0" fontId="4" fillId="4" borderId="0" xfId="0" applyFont="1" applyFill="1"/>
    <xf numFmtId="0" fontId="3" fillId="4" borderId="0" xfId="0" applyFont="1" applyFill="1" applyAlignment="1">
      <alignment horizontal="right"/>
    </xf>
    <xf numFmtId="0" fontId="4" fillId="4" borderId="0" xfId="0" applyFont="1" applyFill="1" applyBorder="1" applyAlignment="1">
      <alignment horizontal="right"/>
    </xf>
    <xf numFmtId="1" fontId="4" fillId="4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5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4" fillId="4" borderId="5" xfId="0" applyNumberFormat="1" applyFont="1" applyFill="1" applyBorder="1" applyAlignment="1">
      <alignment horizontal="right"/>
    </xf>
    <xf numFmtId="1" fontId="4" fillId="4" borderId="0" xfId="0" applyNumberFormat="1" applyFont="1" applyFill="1"/>
    <xf numFmtId="0" fontId="4" fillId="4" borderId="15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right"/>
    </xf>
    <xf numFmtId="164" fontId="5" fillId="4" borderId="15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4" fillId="4" borderId="17" xfId="0" applyFont="1" applyFill="1" applyBorder="1"/>
    <xf numFmtId="0" fontId="4" fillId="4" borderId="4" xfId="0" applyFont="1" applyFill="1" applyBorder="1"/>
    <xf numFmtId="0" fontId="4" fillId="4" borderId="9" xfId="0" applyFont="1" applyFill="1" applyBorder="1"/>
    <xf numFmtId="0" fontId="4" fillId="4" borderId="15" xfId="0" applyFont="1" applyFill="1" applyBorder="1"/>
    <xf numFmtId="2" fontId="4" fillId="4" borderId="0" xfId="0" applyNumberFormat="1" applyFont="1" applyFill="1" applyBorder="1" applyAlignment="1">
      <alignment horizontal="right"/>
    </xf>
    <xf numFmtId="164" fontId="5" fillId="4" borderId="18" xfId="0" applyNumberFormat="1" applyFont="1" applyFill="1" applyBorder="1" applyAlignment="1">
      <alignment horizontal="right"/>
    </xf>
    <xf numFmtId="164" fontId="5" fillId="4" borderId="10" xfId="0" applyNumberFormat="1" applyFont="1" applyFill="1" applyBorder="1" applyAlignment="1">
      <alignment horizontal="right"/>
    </xf>
    <xf numFmtId="164" fontId="5" fillId="4" borderId="11" xfId="0" applyNumberFormat="1" applyFont="1" applyFill="1" applyBorder="1" applyAlignment="1">
      <alignment horizontal="right"/>
    </xf>
    <xf numFmtId="0" fontId="8" fillId="4" borderId="0" xfId="0" applyFont="1" applyFill="1"/>
    <xf numFmtId="1" fontId="5" fillId="4" borderId="0" xfId="0" applyNumberFormat="1" applyFont="1" applyFill="1" applyAlignment="1">
      <alignment horizontal="right"/>
    </xf>
    <xf numFmtId="1" fontId="4" fillId="4" borderId="29" xfId="0" applyNumberFormat="1" applyFont="1" applyFill="1" applyBorder="1" applyAlignment="1">
      <alignment horizontal="right" vertical="center"/>
    </xf>
    <xf numFmtId="0" fontId="4" fillId="4" borderId="29" xfId="0" applyFont="1" applyFill="1" applyBorder="1"/>
    <xf numFmtId="0" fontId="4" fillId="4" borderId="29" xfId="0" applyFont="1" applyFill="1" applyBorder="1" applyAlignment="1">
      <alignment horizontal="right"/>
    </xf>
    <xf numFmtId="0" fontId="3" fillId="4" borderId="0" xfId="0" applyFont="1" applyFill="1"/>
    <xf numFmtId="0" fontId="5" fillId="4" borderId="0" xfId="0" applyFont="1" applyFill="1"/>
    <xf numFmtId="3" fontId="4" fillId="4" borderId="0" xfId="0" applyNumberFormat="1" applyFont="1" applyFill="1"/>
    <xf numFmtId="10" fontId="4" fillId="4" borderId="0" xfId="0" applyNumberFormat="1" applyFont="1" applyFill="1"/>
    <xf numFmtId="164" fontId="4" fillId="4" borderId="0" xfId="0" applyNumberFormat="1" applyFont="1" applyFill="1"/>
    <xf numFmtId="0" fontId="3" fillId="5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4" fillId="8" borderId="0" xfId="0" applyFont="1" applyFill="1" applyAlignment="1">
      <alignment horizontal="right"/>
    </xf>
    <xf numFmtId="0" fontId="15" fillId="8" borderId="0" xfId="0" applyFont="1" applyFill="1"/>
    <xf numFmtId="1" fontId="14" fillId="8" borderId="0" xfId="0" applyNumberFormat="1" applyFont="1" applyFill="1" applyAlignment="1">
      <alignment horizontal="right"/>
    </xf>
    <xf numFmtId="0" fontId="4" fillId="4" borderId="29" xfId="1" applyFont="1" applyFill="1" applyBorder="1"/>
    <xf numFmtId="14" fontId="4" fillId="4" borderId="29" xfId="1" applyNumberFormat="1" applyFont="1" applyFill="1" applyBorder="1"/>
    <xf numFmtId="1" fontId="4" fillId="4" borderId="29" xfId="0" applyNumberFormat="1" applyFont="1" applyFill="1" applyBorder="1"/>
    <xf numFmtId="0" fontId="6" fillId="4" borderId="29" xfId="0" applyFont="1" applyFill="1" applyBorder="1"/>
    <xf numFmtId="0" fontId="5" fillId="4" borderId="29" xfId="0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" fontId="4" fillId="3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3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5" fillId="4" borderId="0" xfId="0" applyFont="1" applyFill="1" applyAlignment="1">
      <alignment horizontal="right" vertical="top" wrapText="1"/>
    </xf>
    <xf numFmtId="0" fontId="1" fillId="4" borderId="0" xfId="0" applyFont="1" applyFill="1" applyAlignment="1">
      <alignment wrapText="1"/>
    </xf>
    <xf numFmtId="0" fontId="5" fillId="4" borderId="0" xfId="0" applyFont="1" applyFill="1" applyAlignment="1">
      <alignment horizontal="right"/>
    </xf>
    <xf numFmtId="0" fontId="1" fillId="4" borderId="0" xfId="0" applyFont="1" applyFill="1" applyAlignment="1"/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63500</xdr:rowOff>
    </xdr:from>
    <xdr:to>
      <xdr:col>1</xdr:col>
      <xdr:colOff>1562099</xdr:colOff>
      <xdr:row>5</xdr:row>
      <xdr:rowOff>90236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F03471-44F1-4F64-88CB-F7CD830B15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69" b="17105"/>
        <a:stretch/>
      </xdr:blipFill>
      <xdr:spPr>
        <a:xfrm>
          <a:off x="1409700" y="241300"/>
          <a:ext cx="1219199" cy="737936"/>
        </a:xfrm>
        <a:prstGeom prst="rect">
          <a:avLst/>
        </a:prstGeom>
      </xdr:spPr>
    </xdr:pic>
    <xdr:clientData/>
  </xdr:twoCellAnchor>
  <xdr:twoCellAnchor>
    <xdr:from>
      <xdr:col>1</xdr:col>
      <xdr:colOff>1663700</xdr:colOff>
      <xdr:row>1</xdr:row>
      <xdr:rowOff>114300</xdr:rowOff>
    </xdr:from>
    <xdr:to>
      <xdr:col>10</xdr:col>
      <xdr:colOff>38100</xdr:colOff>
      <xdr:row>5</xdr:row>
      <xdr:rowOff>69850</xdr:rowOff>
    </xdr:to>
    <xdr:sp macro="" textlink="">
      <xdr:nvSpPr>
        <xdr:cNvPr id="4" name="Text Placeholder 2">
          <a:extLst>
            <a:ext uri="{FF2B5EF4-FFF2-40B4-BE49-F238E27FC236}">
              <a16:creationId xmlns:a16="http://schemas.microsoft.com/office/drawing/2014/main" id="{ABA498C0-1DC5-4CF3-8EB4-99EC16DC05F7}"/>
            </a:ext>
          </a:extLst>
        </xdr:cNvPr>
        <xdr:cNvSpPr>
          <a:spLocks noGrp="1"/>
        </xdr:cNvSpPr>
      </xdr:nvSpPr>
      <xdr:spPr>
        <a:xfrm>
          <a:off x="2730500" y="292100"/>
          <a:ext cx="7505700" cy="666750"/>
        </a:xfrm>
        <a:prstGeom prst="rect">
          <a:avLst/>
        </a:prstGeom>
      </xdr:spPr>
      <xdr:txBody>
        <a:bodyPr wrap="square"/>
        <a:lstStyle>
          <a:lvl1pPr marL="0">
            <a:defRPr sz="6000" b="1">
              <a:latin typeface="+mn-lt"/>
              <a:ea typeface="+mn-ea"/>
              <a:cs typeface="+mn-cs"/>
            </a:defRPr>
          </a:lvl1pPr>
          <a:lvl2pPr marL="457200">
            <a:defRPr sz="6000">
              <a:latin typeface="+mn-lt"/>
              <a:ea typeface="+mn-ea"/>
              <a:cs typeface="+mn-cs"/>
            </a:defRPr>
          </a:lvl2pPr>
          <a:lvl3pPr marL="914400">
            <a:defRPr sz="6000">
              <a:latin typeface="+mn-lt"/>
              <a:ea typeface="+mn-ea"/>
              <a:cs typeface="+mn-cs"/>
            </a:defRPr>
          </a:lvl3pPr>
          <a:lvl4pPr marL="1371600">
            <a:defRPr sz="6000">
              <a:latin typeface="+mn-lt"/>
              <a:ea typeface="+mn-ea"/>
              <a:cs typeface="+mn-cs"/>
            </a:defRPr>
          </a:lvl4pPr>
          <a:lvl5pPr marL="1828800">
            <a:defRPr sz="6000">
              <a:latin typeface="+mn-lt"/>
              <a:ea typeface="+mn-ea"/>
              <a:cs typeface="+mn-cs"/>
            </a:defRPr>
          </a:lvl5pPr>
          <a:lvl6pPr marL="2286000">
            <a:defRPr>
              <a:latin typeface="+mn-lt"/>
              <a:ea typeface="+mn-ea"/>
              <a:cs typeface="+mn-cs"/>
            </a:defRPr>
          </a:lvl6pPr>
          <a:lvl7pPr marL="2743200">
            <a:defRPr>
              <a:latin typeface="+mn-lt"/>
              <a:ea typeface="+mn-ea"/>
              <a:cs typeface="+mn-cs"/>
            </a:defRPr>
          </a:lvl7pPr>
          <a:lvl8pPr marL="3200400">
            <a:defRPr>
              <a:latin typeface="+mn-lt"/>
              <a:ea typeface="+mn-ea"/>
              <a:cs typeface="+mn-cs"/>
            </a:defRPr>
          </a:lvl8pPr>
          <a:lvl9pPr marL="3657600">
            <a:defRPr>
              <a:latin typeface="+mn-lt"/>
              <a:ea typeface="+mn-ea"/>
              <a:cs typeface="+mn-cs"/>
            </a:defRPr>
          </a:lvl9pPr>
        </a:lstStyle>
        <a:p>
          <a:r>
            <a:rPr lang="en-US" sz="2000"/>
            <a:t>Anglian</a:t>
          </a:r>
          <a:r>
            <a:rPr lang="en-US" sz="2000" baseline="0"/>
            <a:t> Water Wholesale Service Centre Fixed Strength Calculator </a:t>
          </a:r>
          <a:endParaRPr lang="en-US" sz="2000"/>
        </a:p>
      </xdr:txBody>
    </xdr:sp>
    <xdr:clientData/>
  </xdr:twoCellAnchor>
  <xdr:twoCellAnchor editAs="oneCell">
    <xdr:from>
      <xdr:col>1</xdr:col>
      <xdr:colOff>1447800</xdr:colOff>
      <xdr:row>3</xdr:row>
      <xdr:rowOff>0</xdr:rowOff>
    </xdr:from>
    <xdr:to>
      <xdr:col>5</xdr:col>
      <xdr:colOff>460375</xdr:colOff>
      <xdr:row>5</xdr:row>
      <xdr:rowOff>72361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C43E3C-C1E9-4BB3-9063-F07840C92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4" t="88061" r="69652" b="3558"/>
        <a:stretch/>
      </xdr:blipFill>
      <xdr:spPr>
        <a:xfrm>
          <a:off x="2514600" y="533400"/>
          <a:ext cx="4638675" cy="427961"/>
        </a:xfrm>
        <a:prstGeom prst="rect">
          <a:avLst/>
        </a:prstGeom>
      </xdr:spPr>
    </xdr:pic>
    <xdr:clientData/>
  </xdr:twoCellAnchor>
  <xdr:twoCellAnchor>
    <xdr:from>
      <xdr:col>3</xdr:col>
      <xdr:colOff>51829</xdr:colOff>
      <xdr:row>8</xdr:row>
      <xdr:rowOff>160682</xdr:rowOff>
    </xdr:from>
    <xdr:to>
      <xdr:col>4</xdr:col>
      <xdr:colOff>35431</xdr:colOff>
      <xdr:row>15</xdr:row>
      <xdr:rowOff>60027</xdr:rowOff>
    </xdr:to>
    <xdr:sp macro="" textlink="">
      <xdr:nvSpPr>
        <xdr:cNvPr id="6" name="object 10">
          <a:extLst>
            <a:ext uri="{FF2B5EF4-FFF2-40B4-BE49-F238E27FC236}">
              <a16:creationId xmlns:a16="http://schemas.microsoft.com/office/drawing/2014/main" id="{A676E7BB-B4D8-43B7-AF5F-F71FCBE11588}"/>
            </a:ext>
          </a:extLst>
        </xdr:cNvPr>
        <xdr:cNvSpPr/>
      </xdr:nvSpPr>
      <xdr:spPr>
        <a:xfrm rot="459787">
          <a:off x="5220729" y="1786282"/>
          <a:ext cx="745602" cy="1232845"/>
        </a:xfrm>
        <a:custGeom>
          <a:avLst/>
          <a:gdLst/>
          <a:ahLst/>
          <a:cxnLst/>
          <a:rect l="l" t="t" r="r" b="b"/>
          <a:pathLst>
            <a:path w="972184" h="1613535">
              <a:moveTo>
                <a:pt x="539964" y="0"/>
              </a:moveTo>
              <a:lnTo>
                <a:pt x="495420" y="571"/>
              </a:lnTo>
              <a:lnTo>
                <a:pt x="451476" y="5567"/>
              </a:lnTo>
              <a:lnTo>
                <a:pt x="408343" y="14758"/>
              </a:lnTo>
              <a:lnTo>
                <a:pt x="366231" y="27913"/>
              </a:lnTo>
              <a:lnTo>
                <a:pt x="325350" y="44802"/>
              </a:lnTo>
              <a:lnTo>
                <a:pt x="285910" y="65194"/>
              </a:lnTo>
              <a:lnTo>
                <a:pt x="248121" y="88858"/>
              </a:lnTo>
              <a:lnTo>
                <a:pt x="212194" y="115566"/>
              </a:lnTo>
              <a:lnTo>
                <a:pt x="178339" y="145085"/>
              </a:lnTo>
              <a:lnTo>
                <a:pt x="146767" y="177186"/>
              </a:lnTo>
              <a:lnTo>
                <a:pt x="117686" y="211639"/>
              </a:lnTo>
              <a:lnTo>
                <a:pt x="91309" y="248212"/>
              </a:lnTo>
              <a:lnTo>
                <a:pt x="67844" y="286675"/>
              </a:lnTo>
              <a:lnTo>
                <a:pt x="47502" y="326799"/>
              </a:lnTo>
              <a:lnTo>
                <a:pt x="30494" y="368352"/>
              </a:lnTo>
              <a:lnTo>
                <a:pt x="17029" y="411104"/>
              </a:lnTo>
              <a:lnTo>
                <a:pt x="7319" y="454826"/>
              </a:lnTo>
              <a:lnTo>
                <a:pt x="1572" y="499285"/>
              </a:lnTo>
              <a:lnTo>
                <a:pt x="0" y="544253"/>
              </a:lnTo>
              <a:lnTo>
                <a:pt x="3012" y="592853"/>
              </a:lnTo>
              <a:lnTo>
                <a:pt x="10444" y="639590"/>
              </a:lnTo>
              <a:lnTo>
                <a:pt x="21815" y="684665"/>
              </a:lnTo>
              <a:lnTo>
                <a:pt x="36641" y="728283"/>
              </a:lnTo>
              <a:lnTo>
                <a:pt x="54441" y="770647"/>
              </a:lnTo>
              <a:lnTo>
                <a:pt x="74732" y="811959"/>
              </a:lnTo>
              <a:lnTo>
                <a:pt x="97033" y="852422"/>
              </a:lnTo>
              <a:lnTo>
                <a:pt x="120861" y="892241"/>
              </a:lnTo>
              <a:lnTo>
                <a:pt x="145735" y="931617"/>
              </a:lnTo>
              <a:lnTo>
                <a:pt x="196689" y="1009857"/>
              </a:lnTo>
              <a:lnTo>
                <a:pt x="221806" y="1049126"/>
              </a:lnTo>
              <a:lnTo>
                <a:pt x="246040" y="1088766"/>
              </a:lnTo>
              <a:lnTo>
                <a:pt x="268908" y="1128980"/>
              </a:lnTo>
              <a:lnTo>
                <a:pt x="289929" y="1169970"/>
              </a:lnTo>
              <a:lnTo>
                <a:pt x="308620" y="1211940"/>
              </a:lnTo>
              <a:lnTo>
                <a:pt x="324500" y="1255094"/>
              </a:lnTo>
              <a:lnTo>
                <a:pt x="337086" y="1299633"/>
              </a:lnTo>
              <a:lnTo>
                <a:pt x="345897" y="1345762"/>
              </a:lnTo>
              <a:lnTo>
                <a:pt x="331322" y="1385048"/>
              </a:lnTo>
              <a:lnTo>
                <a:pt x="310653" y="1422713"/>
              </a:lnTo>
              <a:lnTo>
                <a:pt x="283294" y="1458600"/>
              </a:lnTo>
              <a:lnTo>
                <a:pt x="248653" y="1492549"/>
              </a:lnTo>
              <a:lnTo>
                <a:pt x="220555" y="1527913"/>
              </a:lnTo>
              <a:lnTo>
                <a:pt x="211048" y="1564831"/>
              </a:lnTo>
              <a:lnTo>
                <a:pt x="219996" y="1595711"/>
              </a:lnTo>
              <a:lnTo>
                <a:pt x="247265" y="1612962"/>
              </a:lnTo>
              <a:lnTo>
                <a:pt x="292722" y="1608995"/>
              </a:lnTo>
              <a:lnTo>
                <a:pt x="337127" y="1593314"/>
              </a:lnTo>
              <a:lnTo>
                <a:pt x="380416" y="1574597"/>
              </a:lnTo>
              <a:lnTo>
                <a:pt x="422542" y="1553012"/>
              </a:lnTo>
              <a:lnTo>
                <a:pt x="463463" y="1528731"/>
              </a:lnTo>
              <a:lnTo>
                <a:pt x="503133" y="1501921"/>
              </a:lnTo>
              <a:lnTo>
                <a:pt x="541508" y="1472753"/>
              </a:lnTo>
              <a:lnTo>
                <a:pt x="578543" y="1441396"/>
              </a:lnTo>
              <a:lnTo>
                <a:pt x="614194" y="1408019"/>
              </a:lnTo>
              <a:lnTo>
                <a:pt x="648415" y="1372793"/>
              </a:lnTo>
              <a:lnTo>
                <a:pt x="681163" y="1335887"/>
              </a:lnTo>
              <a:lnTo>
                <a:pt x="712393" y="1297470"/>
              </a:lnTo>
              <a:lnTo>
                <a:pt x="742060" y="1257713"/>
              </a:lnTo>
              <a:lnTo>
                <a:pt x="770119" y="1216783"/>
              </a:lnTo>
              <a:lnTo>
                <a:pt x="796527" y="1174852"/>
              </a:lnTo>
              <a:lnTo>
                <a:pt x="821238" y="1132088"/>
              </a:lnTo>
              <a:lnTo>
                <a:pt x="844208" y="1088661"/>
              </a:lnTo>
              <a:lnTo>
                <a:pt x="865392" y="1044741"/>
              </a:lnTo>
              <a:lnTo>
                <a:pt x="884746" y="1000497"/>
              </a:lnTo>
              <a:lnTo>
                <a:pt x="902225" y="956099"/>
              </a:lnTo>
              <a:lnTo>
                <a:pt x="917784" y="911716"/>
              </a:lnTo>
              <a:lnTo>
                <a:pt x="931379" y="867518"/>
              </a:lnTo>
              <a:lnTo>
                <a:pt x="942160" y="826500"/>
              </a:lnTo>
              <a:lnTo>
                <a:pt x="951435" y="784038"/>
              </a:lnTo>
              <a:lnTo>
                <a:pt x="959109" y="740390"/>
              </a:lnTo>
              <a:lnTo>
                <a:pt x="965089" y="695811"/>
              </a:lnTo>
              <a:lnTo>
                <a:pt x="969282" y="650559"/>
              </a:lnTo>
              <a:lnTo>
                <a:pt x="971595" y="604891"/>
              </a:lnTo>
              <a:lnTo>
                <a:pt x="971932" y="559062"/>
              </a:lnTo>
              <a:lnTo>
                <a:pt x="970202" y="513329"/>
              </a:lnTo>
              <a:lnTo>
                <a:pt x="966310" y="467949"/>
              </a:lnTo>
              <a:lnTo>
                <a:pt x="960163" y="423179"/>
              </a:lnTo>
              <a:lnTo>
                <a:pt x="951667" y="379275"/>
              </a:lnTo>
              <a:lnTo>
                <a:pt x="940728" y="336493"/>
              </a:lnTo>
              <a:lnTo>
                <a:pt x="927254" y="295091"/>
              </a:lnTo>
              <a:lnTo>
                <a:pt x="911150" y="255325"/>
              </a:lnTo>
              <a:lnTo>
                <a:pt x="892323" y="217451"/>
              </a:lnTo>
              <a:lnTo>
                <a:pt x="870679" y="181726"/>
              </a:lnTo>
              <a:lnTo>
                <a:pt x="846125" y="148407"/>
              </a:lnTo>
              <a:lnTo>
                <a:pt x="818567" y="117750"/>
              </a:lnTo>
              <a:lnTo>
                <a:pt x="787912" y="90011"/>
              </a:lnTo>
              <a:lnTo>
                <a:pt x="754065" y="65449"/>
              </a:lnTo>
              <a:lnTo>
                <a:pt x="716934" y="44318"/>
              </a:lnTo>
              <a:lnTo>
                <a:pt x="676425" y="26876"/>
              </a:lnTo>
              <a:lnTo>
                <a:pt x="632444" y="13379"/>
              </a:lnTo>
              <a:lnTo>
                <a:pt x="584898" y="4083"/>
              </a:lnTo>
              <a:lnTo>
                <a:pt x="539964" y="0"/>
              </a:lnTo>
              <a:close/>
            </a:path>
          </a:pathLst>
        </a:custGeom>
        <a:solidFill>
          <a:srgbClr val="0069B4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3</xdr:col>
      <xdr:colOff>613000</xdr:colOff>
      <xdr:row>13</xdr:row>
      <xdr:rowOff>59713</xdr:rowOff>
    </xdr:from>
    <xdr:to>
      <xdr:col>4</xdr:col>
      <xdr:colOff>217511</xdr:colOff>
      <xdr:row>15</xdr:row>
      <xdr:rowOff>49888</xdr:rowOff>
    </xdr:to>
    <xdr:sp macro="" textlink="">
      <xdr:nvSpPr>
        <xdr:cNvPr id="7" name="object 11">
          <a:extLst>
            <a:ext uri="{FF2B5EF4-FFF2-40B4-BE49-F238E27FC236}">
              <a16:creationId xmlns:a16="http://schemas.microsoft.com/office/drawing/2014/main" id="{628E64ED-9774-490C-99F5-C7D634EFBC47}"/>
            </a:ext>
          </a:extLst>
        </xdr:cNvPr>
        <xdr:cNvSpPr/>
      </xdr:nvSpPr>
      <xdr:spPr>
        <a:xfrm rot="1103328">
          <a:off x="5781900" y="2637813"/>
          <a:ext cx="366511" cy="371175"/>
        </a:xfrm>
        <a:custGeom>
          <a:avLst/>
          <a:gdLst/>
          <a:ahLst/>
          <a:cxnLst/>
          <a:rect l="l" t="t" r="r" b="b"/>
          <a:pathLst>
            <a:path w="603250" h="588644">
              <a:moveTo>
                <a:pt x="383553" y="0"/>
              </a:moveTo>
              <a:lnTo>
                <a:pt x="341142" y="7333"/>
              </a:lnTo>
              <a:lnTo>
                <a:pt x="299186" y="21140"/>
              </a:lnTo>
              <a:lnTo>
                <a:pt x="258426" y="40398"/>
              </a:lnTo>
              <a:lnTo>
                <a:pt x="219602" y="64085"/>
              </a:lnTo>
              <a:lnTo>
                <a:pt x="183453" y="91178"/>
              </a:lnTo>
              <a:lnTo>
                <a:pt x="150719" y="120657"/>
              </a:lnTo>
              <a:lnTo>
                <a:pt x="122141" y="151499"/>
              </a:lnTo>
              <a:lnTo>
                <a:pt x="92632" y="190095"/>
              </a:lnTo>
              <a:lnTo>
                <a:pt x="66047" y="232325"/>
              </a:lnTo>
              <a:lnTo>
                <a:pt x="43043" y="277441"/>
              </a:lnTo>
              <a:lnTo>
                <a:pt x="24278" y="324695"/>
              </a:lnTo>
              <a:lnTo>
                <a:pt x="10411" y="373340"/>
              </a:lnTo>
              <a:lnTo>
                <a:pt x="2098" y="422627"/>
              </a:lnTo>
              <a:lnTo>
                <a:pt x="0" y="471809"/>
              </a:lnTo>
              <a:lnTo>
                <a:pt x="4772" y="520138"/>
              </a:lnTo>
              <a:lnTo>
                <a:pt x="17074" y="566866"/>
              </a:lnTo>
              <a:lnTo>
                <a:pt x="31347" y="586419"/>
              </a:lnTo>
              <a:lnTo>
                <a:pt x="49222" y="588184"/>
              </a:lnTo>
              <a:lnTo>
                <a:pt x="65028" y="575826"/>
              </a:lnTo>
              <a:lnTo>
                <a:pt x="73093" y="553010"/>
              </a:lnTo>
              <a:lnTo>
                <a:pt x="76431" y="532074"/>
              </a:lnTo>
              <a:lnTo>
                <a:pt x="82488" y="513237"/>
              </a:lnTo>
              <a:lnTo>
                <a:pt x="144247" y="465140"/>
              </a:lnTo>
              <a:lnTo>
                <a:pt x="188269" y="455782"/>
              </a:lnTo>
              <a:lnTo>
                <a:pt x="233430" y="451006"/>
              </a:lnTo>
              <a:lnTo>
                <a:pt x="325086" y="446801"/>
              </a:lnTo>
              <a:lnTo>
                <a:pt x="370541" y="443174"/>
              </a:lnTo>
              <a:lnTo>
                <a:pt x="415053" y="435731"/>
              </a:lnTo>
              <a:lnTo>
                <a:pt x="458101" y="422374"/>
              </a:lnTo>
              <a:lnTo>
                <a:pt x="499166" y="401004"/>
              </a:lnTo>
              <a:lnTo>
                <a:pt x="534120" y="372587"/>
              </a:lnTo>
              <a:lnTo>
                <a:pt x="562304" y="338275"/>
              </a:lnTo>
              <a:lnTo>
                <a:pt x="583397" y="299528"/>
              </a:lnTo>
              <a:lnTo>
                <a:pt x="597075" y="257810"/>
              </a:lnTo>
              <a:lnTo>
                <a:pt x="603015" y="214583"/>
              </a:lnTo>
              <a:lnTo>
                <a:pt x="600896" y="171309"/>
              </a:lnTo>
              <a:lnTo>
                <a:pt x="590395" y="129451"/>
              </a:lnTo>
              <a:lnTo>
                <a:pt x="571189" y="90471"/>
              </a:lnTo>
              <a:lnTo>
                <a:pt x="542955" y="55830"/>
              </a:lnTo>
              <a:lnTo>
                <a:pt x="506121" y="27054"/>
              </a:lnTo>
              <a:lnTo>
                <a:pt x="466782" y="8838"/>
              </a:lnTo>
              <a:lnTo>
                <a:pt x="425679" y="160"/>
              </a:lnTo>
              <a:lnTo>
                <a:pt x="383553" y="0"/>
              </a:lnTo>
              <a:close/>
            </a:path>
          </a:pathLst>
        </a:custGeom>
        <a:solidFill>
          <a:srgbClr val="86C3EB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showGridLines="0" topLeftCell="A16" zoomScale="75" workbookViewId="0">
      <selection activeCell="J4" sqref="J4"/>
    </sheetView>
  </sheetViews>
  <sheetFormatPr defaultColWidth="9.1796875" defaultRowHeight="14"/>
  <cols>
    <col min="1" max="1" width="40.453125" style="1" bestFit="1" customWidth="1"/>
    <col min="2" max="2" width="11.54296875" style="1" bestFit="1" customWidth="1"/>
    <col min="3" max="3" width="5.7265625" style="1" bestFit="1" customWidth="1"/>
    <col min="4" max="4" width="9.453125" style="1" customWidth="1"/>
    <col min="5" max="5" width="2.26953125" style="1" bestFit="1" customWidth="1"/>
    <col min="6" max="6" width="7.26953125" style="1" bestFit="1" customWidth="1"/>
    <col min="7" max="7" width="2.1796875" style="1" bestFit="1" customWidth="1"/>
    <col min="8" max="8" width="8.1796875" style="1" bestFit="1" customWidth="1"/>
    <col min="9" max="9" width="2.81640625" style="1" customWidth="1"/>
    <col min="10" max="10" width="7.26953125" style="1" bestFit="1" customWidth="1"/>
    <col min="11" max="11" width="2.1796875" style="1" bestFit="1" customWidth="1"/>
    <col min="12" max="12" width="8.1796875" style="1" bestFit="1" customWidth="1"/>
    <col min="13" max="13" width="2" style="1" bestFit="1" customWidth="1"/>
    <col min="14" max="14" width="6.453125" style="1" bestFit="1" customWidth="1"/>
    <col min="15" max="15" width="2.26953125" style="1" bestFit="1" customWidth="1"/>
    <col min="16" max="16" width="8.1796875" style="1" bestFit="1" customWidth="1"/>
    <col min="17" max="17" width="2.26953125" style="1" bestFit="1" customWidth="1"/>
    <col min="18" max="18" width="6.7265625" style="1" customWidth="1"/>
    <col min="19" max="19" width="2" style="1" bestFit="1" customWidth="1"/>
    <col min="20" max="20" width="6.453125" style="1" bestFit="1" customWidth="1"/>
    <col min="21" max="21" width="2.26953125" style="1" bestFit="1" customWidth="1"/>
    <col min="22" max="22" width="8" style="1" bestFit="1" customWidth="1"/>
    <col min="23" max="23" width="2" style="1" bestFit="1" customWidth="1"/>
    <col min="24" max="24" width="6.54296875" style="1" customWidth="1"/>
    <col min="25" max="25" width="2" style="1" customWidth="1"/>
    <col min="26" max="26" width="6.453125" style="1" bestFit="1" customWidth="1"/>
    <col min="27" max="16384" width="9.1796875" style="1"/>
  </cols>
  <sheetData>
    <row r="1" spans="1:28" ht="18">
      <c r="A1" s="71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8">
      <c r="A2" s="2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8">
      <c r="A3" s="7" t="s">
        <v>1</v>
      </c>
      <c r="B3" s="8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8">
      <c r="A4" s="7" t="s">
        <v>3</v>
      </c>
      <c r="B4" s="89">
        <v>500</v>
      </c>
      <c r="C4" s="8" t="s">
        <v>4</v>
      </c>
      <c r="D4" s="73" t="s">
        <v>5</v>
      </c>
      <c r="E4" s="8"/>
      <c r="G4" s="8"/>
      <c r="H4" s="8"/>
      <c r="I4" s="8"/>
      <c r="J4" s="8"/>
      <c r="K4" s="8"/>
      <c r="L4" s="8"/>
      <c r="M4" s="8"/>
      <c r="N4" s="57" t="s">
        <v>6</v>
      </c>
      <c r="O4" s="1" t="s">
        <v>7</v>
      </c>
      <c r="P4" s="1" t="s">
        <v>8</v>
      </c>
    </row>
    <row r="5" spans="1:28">
      <c r="A5" s="7" t="s">
        <v>9</v>
      </c>
      <c r="B5" s="72">
        <v>1000</v>
      </c>
      <c r="C5" s="8" t="s">
        <v>4</v>
      </c>
      <c r="D5" s="73" t="s">
        <v>10</v>
      </c>
      <c r="E5" s="8"/>
      <c r="G5" s="8"/>
      <c r="H5" s="8"/>
      <c r="I5" s="8"/>
      <c r="J5" s="8"/>
      <c r="K5" s="8"/>
      <c r="L5" s="8"/>
      <c r="M5" s="8"/>
      <c r="N5" s="57" t="s">
        <v>11</v>
      </c>
      <c r="O5" s="91" t="s">
        <v>7</v>
      </c>
      <c r="P5" s="169" t="s">
        <v>12</v>
      </c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92"/>
    </row>
    <row r="6" spans="1:28">
      <c r="A6" s="7" t="s">
        <v>13</v>
      </c>
      <c r="B6" s="72">
        <v>50000</v>
      </c>
      <c r="C6" s="8" t="s">
        <v>14</v>
      </c>
      <c r="D6" s="73" t="s">
        <v>15</v>
      </c>
      <c r="E6" s="8"/>
      <c r="G6" s="8"/>
      <c r="H6" s="8"/>
      <c r="I6" s="8"/>
      <c r="J6" s="8"/>
      <c r="K6" s="8"/>
      <c r="L6" s="8"/>
      <c r="M6" s="8"/>
      <c r="N6" s="91"/>
      <c r="O6" s="91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92"/>
    </row>
    <row r="7" spans="1:2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57" t="s">
        <v>16</v>
      </c>
      <c r="O7" s="91" t="s">
        <v>7</v>
      </c>
      <c r="P7" s="169" t="s">
        <v>17</v>
      </c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</row>
    <row r="8" spans="1:28">
      <c r="A8" s="13" t="s">
        <v>18</v>
      </c>
      <c r="B8" s="37" t="s">
        <v>6</v>
      </c>
      <c r="C8" s="37" t="s">
        <v>19</v>
      </c>
      <c r="D8" s="37" t="s">
        <v>11</v>
      </c>
      <c r="E8" s="14" t="s">
        <v>19</v>
      </c>
      <c r="F8" s="41" t="s">
        <v>20</v>
      </c>
      <c r="G8" s="42" t="s">
        <v>21</v>
      </c>
      <c r="H8" s="43" t="s">
        <v>22</v>
      </c>
      <c r="I8" s="44" t="s">
        <v>19</v>
      </c>
      <c r="J8" s="41" t="s">
        <v>23</v>
      </c>
      <c r="K8" s="42" t="s">
        <v>21</v>
      </c>
      <c r="L8" s="43" t="s">
        <v>16</v>
      </c>
      <c r="M8" s="8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</row>
    <row r="9" spans="1:28">
      <c r="A9" s="15"/>
      <c r="B9" s="38"/>
      <c r="C9" s="38"/>
      <c r="D9" s="38"/>
      <c r="E9" s="16"/>
      <c r="F9" s="45" t="s">
        <v>24</v>
      </c>
      <c r="G9" s="46"/>
      <c r="H9" s="47"/>
      <c r="I9" s="48"/>
      <c r="J9" s="45" t="s">
        <v>25</v>
      </c>
      <c r="K9" s="46"/>
      <c r="L9" s="47"/>
      <c r="M9" s="8"/>
      <c r="N9" s="57" t="s">
        <v>22</v>
      </c>
      <c r="O9" s="1" t="s">
        <v>7</v>
      </c>
      <c r="P9" s="169" t="s">
        <v>26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70"/>
    </row>
    <row r="10" spans="1:28">
      <c r="A10" s="15"/>
      <c r="B10" s="38"/>
      <c r="C10" s="38"/>
      <c r="D10" s="38"/>
      <c r="E10" s="16"/>
      <c r="F10" s="49"/>
      <c r="G10" s="50"/>
      <c r="H10" s="50"/>
      <c r="I10" s="48"/>
      <c r="J10" s="49"/>
      <c r="K10" s="50"/>
      <c r="L10" s="50"/>
      <c r="M10" s="8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</row>
    <row r="11" spans="1:28">
      <c r="A11" s="13" t="str">
        <f>A8</f>
        <v xml:space="preserve">Trade Effluent Treatment Cost = </v>
      </c>
      <c r="B11" s="39">
        <f>VLOOKUP(Example!$B$3,Factors!$G$6:$L$9,2,FALSE)</f>
        <v>0.34200000000000003</v>
      </c>
      <c r="C11" s="40" t="s">
        <v>19</v>
      </c>
      <c r="D11" s="39">
        <f>VLOOKUP(Example!$B$3,Factors!$G$6:$L$9,3,FALSE)</f>
        <v>0.48249999999999998</v>
      </c>
      <c r="E11" s="18" t="s">
        <v>19</v>
      </c>
      <c r="F11" s="51">
        <f>B4</f>
        <v>500</v>
      </c>
      <c r="G11" s="52" t="s">
        <v>21</v>
      </c>
      <c r="H11" s="53">
        <f>VLOOKUP(Example!$B$3,Factors!$G$6:$L$9,4,FALSE)</f>
        <v>0.27200000000000002</v>
      </c>
      <c r="I11" s="96" t="s">
        <v>19</v>
      </c>
      <c r="J11" s="51">
        <f>B5</f>
        <v>1000</v>
      </c>
      <c r="K11" s="52" t="s">
        <v>21</v>
      </c>
      <c r="L11" s="53">
        <f>VLOOKUP(Example!$B$3,Factors!$G$6:$L$9,5,FALSE)</f>
        <v>0.49480000000000002</v>
      </c>
      <c r="M11" s="8"/>
      <c r="N11" s="57" t="s">
        <v>25</v>
      </c>
      <c r="O11" s="1" t="s">
        <v>7</v>
      </c>
      <c r="P11" s="1" t="s">
        <v>27</v>
      </c>
    </row>
    <row r="12" spans="1:28">
      <c r="A12" s="15"/>
      <c r="B12" s="40"/>
      <c r="C12" s="40"/>
      <c r="D12" s="40"/>
      <c r="E12" s="18"/>
      <c r="F12" s="54">
        <v>399</v>
      </c>
      <c r="G12" s="55"/>
      <c r="H12" s="56"/>
      <c r="I12" s="96"/>
      <c r="J12" s="54">
        <v>584</v>
      </c>
      <c r="K12" s="55"/>
      <c r="L12" s="56"/>
      <c r="M12" s="8"/>
      <c r="N12" s="57" t="s">
        <v>23</v>
      </c>
      <c r="O12" s="1" t="s">
        <v>7</v>
      </c>
      <c r="P12" s="1" t="s">
        <v>28</v>
      </c>
    </row>
    <row r="13" spans="1:28">
      <c r="A13" s="15"/>
      <c r="B13" s="40"/>
      <c r="C13" s="40"/>
      <c r="D13" s="40"/>
      <c r="E13" s="18"/>
      <c r="F13" s="48"/>
      <c r="G13" s="48"/>
      <c r="H13" s="48"/>
      <c r="I13" s="48"/>
      <c r="J13" s="48"/>
      <c r="K13" s="48"/>
      <c r="L13" s="48"/>
      <c r="M13" s="8"/>
      <c r="N13" s="57" t="s">
        <v>24</v>
      </c>
      <c r="O13" s="1" t="s">
        <v>7</v>
      </c>
      <c r="P13" s="1" t="s">
        <v>29</v>
      </c>
    </row>
    <row r="14" spans="1:28">
      <c r="A14" s="13" t="str">
        <f>A8</f>
        <v xml:space="preserve">Trade Effluent Treatment Cost = </v>
      </c>
      <c r="B14" s="39">
        <f>B11</f>
        <v>0.34200000000000003</v>
      </c>
      <c r="C14" s="39" t="str">
        <f t="shared" ref="C14:I14" si="0">C11</f>
        <v>+</v>
      </c>
      <c r="D14" s="39">
        <f t="shared" si="0"/>
        <v>0.48249999999999998</v>
      </c>
      <c r="E14" s="17" t="str">
        <f t="shared" si="0"/>
        <v>+</v>
      </c>
      <c r="F14" s="173">
        <f>F11*H11/F12</f>
        <v>0.34085213032581452</v>
      </c>
      <c r="G14" s="173"/>
      <c r="H14" s="173"/>
      <c r="I14" s="97" t="str">
        <f t="shared" si="0"/>
        <v>+</v>
      </c>
      <c r="J14" s="173">
        <f>J11*L11/J12</f>
        <v>0.84726027397260273</v>
      </c>
      <c r="K14" s="173"/>
      <c r="L14" s="173"/>
      <c r="M14" s="8"/>
      <c r="N14" s="57" t="s">
        <v>20</v>
      </c>
      <c r="O14" s="1" t="s">
        <v>7</v>
      </c>
      <c r="P14" s="1" t="s">
        <v>30</v>
      </c>
    </row>
    <row r="15" spans="1:28">
      <c r="A15" s="15"/>
      <c r="B15" s="18"/>
      <c r="C15" s="18"/>
      <c r="D15" s="18"/>
      <c r="E15" s="18"/>
      <c r="F15" s="20"/>
      <c r="G15" s="8"/>
      <c r="H15" s="8"/>
      <c r="I15" s="8"/>
      <c r="J15" s="20"/>
      <c r="K15" s="8"/>
      <c r="L15" s="8"/>
      <c r="M15" s="8"/>
    </row>
    <row r="16" spans="1:28" ht="14.5" thickBot="1">
      <c r="A16" s="13" t="str">
        <f>A14</f>
        <v xml:space="preserve">Trade Effluent Treatment Cost = </v>
      </c>
      <c r="B16" s="22">
        <f>B14+D14+F14+J14</f>
        <v>2.0126124042984173</v>
      </c>
      <c r="C16" s="14" t="s">
        <v>31</v>
      </c>
      <c r="D16" s="18"/>
      <c r="E16" s="18"/>
      <c r="F16" s="8"/>
      <c r="G16" s="8"/>
      <c r="H16" s="8"/>
      <c r="I16" s="8"/>
      <c r="J16" s="8"/>
      <c r="K16" s="8"/>
      <c r="L16" s="8"/>
      <c r="M16" s="8"/>
    </row>
    <row r="17" spans="1:26" ht="14.5" thickTop="1">
      <c r="A17" s="13"/>
      <c r="B17" s="30"/>
      <c r="C17" s="14"/>
      <c r="D17" s="18"/>
      <c r="E17" s="18"/>
      <c r="F17" s="8"/>
      <c r="G17" s="8"/>
      <c r="H17" s="8"/>
      <c r="I17" s="8"/>
      <c r="J17" s="8"/>
      <c r="K17" s="8"/>
      <c r="L17" s="8"/>
      <c r="M17" s="8"/>
    </row>
    <row r="18" spans="1:26">
      <c r="A18" s="15"/>
      <c r="B18" s="18"/>
      <c r="C18" s="18"/>
      <c r="D18" s="18"/>
      <c r="E18" s="18"/>
      <c r="F18" s="8"/>
      <c r="G18" s="8"/>
      <c r="H18" s="8"/>
      <c r="I18" s="8"/>
      <c r="J18" s="8"/>
      <c r="K18" s="8"/>
      <c r="L18" s="8"/>
      <c r="M18" s="8"/>
    </row>
    <row r="19" spans="1:26" s="57" customFormat="1">
      <c r="A19" s="23" t="s">
        <v>32</v>
      </c>
      <c r="B19" s="19" t="s">
        <v>33</v>
      </c>
      <c r="C19" s="19" t="s">
        <v>21</v>
      </c>
      <c r="D19" s="19" t="s">
        <v>34</v>
      </c>
      <c r="E19" s="20"/>
      <c r="F19" s="20" t="s">
        <v>35</v>
      </c>
      <c r="G19" s="20"/>
      <c r="H19" s="58" t="s">
        <v>33</v>
      </c>
      <c r="I19" s="59" t="s">
        <v>21</v>
      </c>
      <c r="J19" s="60" t="s">
        <v>6</v>
      </c>
      <c r="K19" s="95" t="s">
        <v>19</v>
      </c>
      <c r="L19" s="58" t="s">
        <v>33</v>
      </c>
      <c r="M19" s="59" t="s">
        <v>21</v>
      </c>
      <c r="N19" s="60" t="s">
        <v>11</v>
      </c>
      <c r="O19" s="20" t="s">
        <v>19</v>
      </c>
      <c r="P19" s="63" t="s">
        <v>33</v>
      </c>
      <c r="Q19" s="52" t="s">
        <v>21</v>
      </c>
      <c r="R19" s="64" t="s">
        <v>20</v>
      </c>
      <c r="S19" s="52" t="s">
        <v>21</v>
      </c>
      <c r="T19" s="65" t="s">
        <v>22</v>
      </c>
      <c r="U19" s="96" t="s">
        <v>19</v>
      </c>
      <c r="V19" s="63" t="s">
        <v>33</v>
      </c>
      <c r="W19" s="52" t="s">
        <v>21</v>
      </c>
      <c r="X19" s="64" t="s">
        <v>23</v>
      </c>
      <c r="Y19" s="52" t="s">
        <v>21</v>
      </c>
      <c r="Z19" s="65" t="s">
        <v>36</v>
      </c>
    </row>
    <row r="20" spans="1:26">
      <c r="A20" s="8"/>
      <c r="B20" s="19"/>
      <c r="C20" s="19"/>
      <c r="D20" s="19"/>
      <c r="E20" s="8"/>
      <c r="F20" s="8"/>
      <c r="G20" s="8"/>
      <c r="H20" s="61"/>
      <c r="I20" s="61"/>
      <c r="J20" s="61"/>
      <c r="K20" s="61"/>
      <c r="L20" s="61"/>
      <c r="M20" s="61"/>
      <c r="N20" s="61"/>
      <c r="P20" s="66"/>
      <c r="Q20" s="46"/>
      <c r="R20" s="55" t="s">
        <v>24</v>
      </c>
      <c r="S20" s="46"/>
      <c r="T20" s="47"/>
      <c r="U20" s="48"/>
      <c r="V20" s="66"/>
      <c r="W20" s="46"/>
      <c r="X20" s="55" t="s">
        <v>25</v>
      </c>
      <c r="Y20" s="46"/>
      <c r="Z20" s="47"/>
    </row>
    <row r="21" spans="1:26">
      <c r="A21" s="8"/>
      <c r="B21" s="8"/>
      <c r="C21" s="8"/>
      <c r="D21" s="8"/>
      <c r="E21" s="8"/>
      <c r="F21" s="8"/>
      <c r="G21" s="8"/>
      <c r="H21" s="61"/>
      <c r="I21" s="61"/>
      <c r="J21" s="61"/>
      <c r="K21" s="61"/>
      <c r="L21" s="61"/>
      <c r="M21" s="61"/>
      <c r="N21" s="61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>
      <c r="A22" s="23" t="str">
        <f>A19</f>
        <v>Total Trade Effluent Charge (p/m3) =</v>
      </c>
      <c r="B22" s="20">
        <f>B6</f>
        <v>50000</v>
      </c>
      <c r="C22" s="20" t="s">
        <v>21</v>
      </c>
      <c r="D22" s="21">
        <f>B16</f>
        <v>2.0126124042984173</v>
      </c>
      <c r="E22" s="8"/>
      <c r="F22" s="20" t="s">
        <v>35</v>
      </c>
      <c r="G22" s="8"/>
      <c r="H22" s="58">
        <f>B6</f>
        <v>50000</v>
      </c>
      <c r="I22" s="59" t="s">
        <v>21</v>
      </c>
      <c r="J22" s="62">
        <f>B11</f>
        <v>0.34200000000000003</v>
      </c>
      <c r="K22" s="95" t="s">
        <v>19</v>
      </c>
      <c r="L22" s="58">
        <f>B6</f>
        <v>50000</v>
      </c>
      <c r="M22" s="59" t="s">
        <v>21</v>
      </c>
      <c r="N22" s="62">
        <f>D11</f>
        <v>0.48249999999999998</v>
      </c>
      <c r="O22" s="57" t="s">
        <v>19</v>
      </c>
      <c r="P22" s="63">
        <f>B6</f>
        <v>50000</v>
      </c>
      <c r="Q22" s="52" t="s">
        <v>21</v>
      </c>
      <c r="R22" s="64">
        <f>B4</f>
        <v>500</v>
      </c>
      <c r="S22" s="52" t="s">
        <v>21</v>
      </c>
      <c r="T22" s="53">
        <v>18.559999999999999</v>
      </c>
      <c r="U22" s="96" t="s">
        <v>19</v>
      </c>
      <c r="V22" s="63">
        <f>B6</f>
        <v>50000</v>
      </c>
      <c r="W22" s="52" t="s">
        <v>21</v>
      </c>
      <c r="X22" s="64">
        <f>B5</f>
        <v>1000</v>
      </c>
      <c r="Y22" s="52" t="s">
        <v>21</v>
      </c>
      <c r="Z22" s="53">
        <v>22.82</v>
      </c>
    </row>
    <row r="23" spans="1:26">
      <c r="A23" s="8"/>
      <c r="B23" s="20"/>
      <c r="C23" s="20"/>
      <c r="D23" s="20"/>
      <c r="E23" s="8"/>
      <c r="F23" s="8"/>
      <c r="G23" s="8"/>
      <c r="H23" s="95"/>
      <c r="I23" s="95"/>
      <c r="J23" s="95"/>
      <c r="K23" s="95"/>
      <c r="L23" s="95"/>
      <c r="M23" s="95"/>
      <c r="N23" s="95"/>
      <c r="O23" s="57"/>
      <c r="P23" s="54"/>
      <c r="Q23" s="55"/>
      <c r="R23" s="55">
        <f>F12</f>
        <v>399</v>
      </c>
      <c r="S23" s="55"/>
      <c r="T23" s="56"/>
      <c r="U23" s="96"/>
      <c r="V23" s="54"/>
      <c r="W23" s="55"/>
      <c r="X23" s="55">
        <f>J12</f>
        <v>584</v>
      </c>
      <c r="Y23" s="55"/>
      <c r="Z23" s="56"/>
    </row>
    <row r="24" spans="1:26">
      <c r="A24" s="8"/>
      <c r="B24" s="20"/>
      <c r="C24" s="20"/>
      <c r="D24" s="20"/>
      <c r="E24" s="8"/>
      <c r="F24" s="8"/>
      <c r="G24" s="8"/>
      <c r="H24" s="95"/>
      <c r="I24" s="95"/>
      <c r="J24" s="95"/>
      <c r="K24" s="95"/>
      <c r="L24" s="95"/>
      <c r="M24" s="95"/>
      <c r="N24" s="95"/>
      <c r="O24" s="57"/>
      <c r="P24" s="67"/>
      <c r="Q24" s="67"/>
      <c r="R24" s="67"/>
      <c r="S24" s="67"/>
      <c r="T24" s="67"/>
      <c r="U24" s="96"/>
      <c r="V24" s="67"/>
      <c r="W24" s="67"/>
      <c r="X24" s="67"/>
      <c r="Y24" s="67"/>
      <c r="Z24" s="67"/>
    </row>
    <row r="25" spans="1:26">
      <c r="A25" s="23" t="str">
        <f>A22</f>
        <v>Total Trade Effluent Charge (p/m3) =</v>
      </c>
      <c r="B25" s="20">
        <f>B22</f>
        <v>50000</v>
      </c>
      <c r="C25" s="20" t="str">
        <f>C22</f>
        <v>x</v>
      </c>
      <c r="D25" s="21">
        <f>D22</f>
        <v>2.0126124042984173</v>
      </c>
      <c r="E25" s="8"/>
      <c r="F25" s="20" t="str">
        <f>F22</f>
        <v>or</v>
      </c>
      <c r="G25" s="8"/>
      <c r="H25" s="166">
        <f>H22*J22</f>
        <v>17100</v>
      </c>
      <c r="I25" s="166"/>
      <c r="J25" s="166"/>
      <c r="K25" s="95" t="s">
        <v>19</v>
      </c>
      <c r="L25" s="166">
        <f>L22*N22</f>
        <v>24125</v>
      </c>
      <c r="M25" s="166"/>
      <c r="N25" s="166"/>
      <c r="O25" s="57" t="s">
        <v>19</v>
      </c>
      <c r="P25" s="164">
        <f>P22*R22/R23*T22</f>
        <v>1162907.2681704259</v>
      </c>
      <c r="Q25" s="164"/>
      <c r="R25" s="164"/>
      <c r="S25" s="164"/>
      <c r="T25" s="164"/>
      <c r="U25" s="68" t="s">
        <v>19</v>
      </c>
      <c r="V25" s="164">
        <f>V22*X22/X23*Z22</f>
        <v>1953767.123287671</v>
      </c>
      <c r="W25" s="164"/>
      <c r="X25" s="164"/>
      <c r="Y25" s="164"/>
      <c r="Z25" s="164"/>
    </row>
    <row r="26" spans="1:26">
      <c r="A26" s="8"/>
      <c r="B26" s="20"/>
      <c r="C26" s="20"/>
      <c r="D26" s="20"/>
      <c r="E26" s="8"/>
      <c r="F26" s="8"/>
      <c r="G26" s="8"/>
      <c r="H26" s="95"/>
      <c r="I26" s="95"/>
      <c r="J26" s="95"/>
      <c r="K26" s="95"/>
      <c r="L26" s="95"/>
      <c r="M26" s="95"/>
      <c r="N26" s="95"/>
      <c r="O26" s="57"/>
      <c r="P26" s="67"/>
      <c r="Q26" s="67"/>
      <c r="R26" s="67"/>
      <c r="S26" s="67"/>
      <c r="T26" s="67"/>
      <c r="U26" s="96"/>
      <c r="V26" s="67"/>
      <c r="W26" s="67"/>
      <c r="X26" s="67"/>
      <c r="Y26" s="67"/>
      <c r="Z26" s="67"/>
    </row>
    <row r="27" spans="1:26" s="2" customFormat="1">
      <c r="A27" s="23" t="s">
        <v>37</v>
      </c>
      <c r="B27" s="20">
        <f>B22</f>
        <v>50000</v>
      </c>
      <c r="C27" s="20" t="s">
        <v>21</v>
      </c>
      <c r="D27" s="28">
        <f>D22</f>
        <v>2.0126124042984173</v>
      </c>
      <c r="E27" s="20"/>
      <c r="F27" s="20" t="s">
        <v>35</v>
      </c>
      <c r="G27" s="20"/>
      <c r="H27" s="165">
        <f>H25</f>
        <v>17100</v>
      </c>
      <c r="I27" s="165"/>
      <c r="J27" s="165"/>
      <c r="K27" s="95"/>
      <c r="L27" s="165">
        <f>L25</f>
        <v>24125</v>
      </c>
      <c r="M27" s="165"/>
      <c r="N27" s="165"/>
      <c r="O27" s="57" t="str">
        <f>O25</f>
        <v>+</v>
      </c>
      <c r="P27" s="167">
        <f>P25</f>
        <v>1162907.2681704259</v>
      </c>
      <c r="Q27" s="167"/>
      <c r="R27" s="167"/>
      <c r="S27" s="167"/>
      <c r="T27" s="167"/>
      <c r="U27" s="96" t="str">
        <f>U25</f>
        <v>+</v>
      </c>
      <c r="V27" s="167">
        <f>V25</f>
        <v>1953767.123287671</v>
      </c>
      <c r="W27" s="167"/>
      <c r="X27" s="167"/>
      <c r="Y27" s="167"/>
      <c r="Z27" s="167"/>
    </row>
    <row r="28" spans="1:26">
      <c r="A28" s="8"/>
      <c r="B28" s="20"/>
      <c r="C28" s="20"/>
      <c r="D28" s="20">
        <v>100</v>
      </c>
      <c r="E28" s="20"/>
      <c r="F28" s="20"/>
      <c r="G28" s="20"/>
      <c r="H28" s="166">
        <v>100</v>
      </c>
      <c r="I28" s="166"/>
      <c r="J28" s="166"/>
      <c r="K28" s="95"/>
      <c r="L28" s="166">
        <v>100</v>
      </c>
      <c r="M28" s="166"/>
      <c r="N28" s="166"/>
      <c r="O28" s="57"/>
      <c r="P28" s="168">
        <v>100</v>
      </c>
      <c r="Q28" s="168"/>
      <c r="R28" s="168"/>
      <c r="S28" s="168"/>
      <c r="T28" s="168"/>
      <c r="U28" s="96"/>
      <c r="V28" s="168">
        <v>100</v>
      </c>
      <c r="W28" s="168"/>
      <c r="X28" s="168"/>
      <c r="Y28" s="168"/>
      <c r="Z28" s="168"/>
    </row>
    <row r="29" spans="1:26">
      <c r="A29" s="8"/>
      <c r="B29" s="20"/>
      <c r="C29" s="20"/>
      <c r="D29" s="20"/>
      <c r="E29" s="20"/>
      <c r="F29" s="20"/>
      <c r="G29" s="20"/>
      <c r="H29" s="95"/>
      <c r="I29" s="95"/>
      <c r="J29" s="95"/>
      <c r="K29" s="95"/>
      <c r="L29" s="95"/>
      <c r="M29" s="95"/>
      <c r="N29" s="95"/>
      <c r="O29" s="57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>
      <c r="A30" s="23" t="s">
        <v>37</v>
      </c>
      <c r="B30" s="20">
        <f>B27</f>
        <v>50000</v>
      </c>
      <c r="C30" s="20" t="str">
        <f>C27</f>
        <v>x</v>
      </c>
      <c r="D30" s="20">
        <f>D27/100</f>
        <v>2.0126124042984174E-2</v>
      </c>
      <c r="E30" s="20"/>
      <c r="F30" s="20" t="str">
        <f>F27</f>
        <v>or</v>
      </c>
      <c r="G30" s="20"/>
      <c r="H30" s="166">
        <f>H27/100</f>
        <v>171</v>
      </c>
      <c r="I30" s="166"/>
      <c r="J30" s="166"/>
      <c r="K30" s="95" t="s">
        <v>19</v>
      </c>
      <c r="L30" s="166">
        <f>L27/100</f>
        <v>241.25</v>
      </c>
      <c r="M30" s="171"/>
      <c r="N30" s="171"/>
      <c r="O30" s="57" t="s">
        <v>19</v>
      </c>
      <c r="P30" s="168">
        <f>P27/100</f>
        <v>11629.07268170426</v>
      </c>
      <c r="Q30" s="168"/>
      <c r="R30" s="168"/>
      <c r="S30" s="168"/>
      <c r="T30" s="168"/>
      <c r="U30" s="96" t="s">
        <v>19</v>
      </c>
      <c r="V30" s="168">
        <f>V27/100</f>
        <v>19537.67123287671</v>
      </c>
      <c r="W30" s="168"/>
      <c r="X30" s="168"/>
      <c r="Y30" s="168"/>
      <c r="Z30" s="168"/>
    </row>
    <row r="31" spans="1:26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2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27" ht="14.5" thickBot="1">
      <c r="A33" s="23" t="s">
        <v>38</v>
      </c>
      <c r="B33" s="29">
        <f>B22*D22/100</f>
        <v>1006.3062021492087</v>
      </c>
      <c r="C33" s="174" t="s">
        <v>39</v>
      </c>
      <c r="D33" s="175"/>
      <c r="E33" s="175"/>
      <c r="F33" s="175"/>
      <c r="G33" s="175"/>
      <c r="H33" s="161">
        <f>H30/B33</f>
        <v>0.16992839717651387</v>
      </c>
      <c r="I33" s="161"/>
      <c r="J33" s="161"/>
      <c r="K33" s="93"/>
      <c r="L33" s="161">
        <f>L30/B33</f>
        <v>0.23973816268323961</v>
      </c>
      <c r="M33" s="162"/>
      <c r="N33" s="162"/>
      <c r="O33" s="69"/>
      <c r="P33" s="163">
        <f>P30/B33</f>
        <v>11.556196967550811</v>
      </c>
      <c r="Q33" s="163"/>
      <c r="R33" s="163"/>
      <c r="S33" s="163"/>
      <c r="T33" s="163"/>
      <c r="U33" s="94"/>
      <c r="V33" s="163">
        <f>V30/B33</f>
        <v>19.415234837218847</v>
      </c>
      <c r="W33" s="163"/>
      <c r="X33" s="163"/>
      <c r="Y33" s="163"/>
      <c r="Z33" s="163"/>
      <c r="AA33" s="70"/>
    </row>
    <row r="34" spans="1:27" ht="14.5" thickTop="1">
      <c r="A34" s="8"/>
      <c r="B34" s="8"/>
      <c r="C34" s="175"/>
      <c r="D34" s="175"/>
      <c r="E34" s="175"/>
      <c r="F34" s="175"/>
      <c r="G34" s="175"/>
      <c r="H34" s="161">
        <f>H33+L33</f>
        <v>0.40966655985975348</v>
      </c>
      <c r="I34" s="171"/>
      <c r="J34" s="171"/>
      <c r="K34" s="171"/>
      <c r="L34" s="171"/>
      <c r="M34" s="171"/>
      <c r="N34" s="171"/>
      <c r="P34" s="163">
        <f>P33+V33</f>
        <v>30.971431804769658</v>
      </c>
      <c r="Q34" s="172"/>
      <c r="R34" s="172"/>
      <c r="S34" s="172"/>
      <c r="T34" s="172"/>
      <c r="U34" s="172"/>
      <c r="V34" s="172"/>
      <c r="W34" s="172"/>
      <c r="X34" s="172"/>
      <c r="Y34" s="172"/>
      <c r="Z34" s="172"/>
    </row>
    <row r="35" spans="1:27">
      <c r="A35" s="23" t="s">
        <v>40</v>
      </c>
      <c r="B35" s="74">
        <f>VLOOKUP(B3,Factors!G5:L9,6,FALSE)</f>
        <v>150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27">
      <c r="A36" s="2" t="s">
        <v>41</v>
      </c>
      <c r="B36" s="75">
        <f>B35+B33</f>
        <v>1156.3062021492087</v>
      </c>
    </row>
  </sheetData>
  <mergeCells count="28">
    <mergeCell ref="P5:AA6"/>
    <mergeCell ref="P7:AA8"/>
    <mergeCell ref="P9:AA10"/>
    <mergeCell ref="H34:N34"/>
    <mergeCell ref="P34:Z34"/>
    <mergeCell ref="V33:Z33"/>
    <mergeCell ref="H30:J30"/>
    <mergeCell ref="L30:N30"/>
    <mergeCell ref="P30:T30"/>
    <mergeCell ref="V30:Z30"/>
    <mergeCell ref="V25:Z25"/>
    <mergeCell ref="V27:Z27"/>
    <mergeCell ref="V28:Z28"/>
    <mergeCell ref="F14:H14"/>
    <mergeCell ref="J14:L14"/>
    <mergeCell ref="C33:G34"/>
    <mergeCell ref="H33:J33"/>
    <mergeCell ref="L33:N33"/>
    <mergeCell ref="P33:T33"/>
    <mergeCell ref="P25:T25"/>
    <mergeCell ref="H27:J27"/>
    <mergeCell ref="H28:J28"/>
    <mergeCell ref="L27:N27"/>
    <mergeCell ref="L28:N28"/>
    <mergeCell ref="P27:T27"/>
    <mergeCell ref="P28:T28"/>
    <mergeCell ref="H25:J25"/>
    <mergeCell ref="L25:N25"/>
  </mergeCells>
  <phoneticPr fontId="11" type="noConversion"/>
  <pageMargins left="0.34" right="0.5" top="1" bottom="0.74" header="0.5" footer="0.5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5D12F4-151E-4879-8753-0ABAC8712EDB}">
          <x14:formula1>
            <xm:f>Factors!$G$6:$G$9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M59"/>
  <sheetViews>
    <sheetView zoomScaleNormal="100" workbookViewId="0">
      <selection activeCell="C21" sqref="C21"/>
    </sheetView>
  </sheetViews>
  <sheetFormatPr defaultColWidth="9.1796875" defaultRowHeight="14"/>
  <cols>
    <col min="1" max="1" width="16" style="98" customWidth="1"/>
    <col min="2" max="2" width="49.26953125" style="98" customWidth="1"/>
    <col min="3" max="3" width="12.1796875" style="98" bestFit="1" customWidth="1"/>
    <col min="4" max="6" width="11.453125" style="98" bestFit="1" customWidth="1"/>
    <col min="7" max="8" width="5.54296875" style="98" customWidth="1"/>
    <col min="9" max="9" width="18.453125" style="98" bestFit="1" customWidth="1"/>
    <col min="10" max="10" width="11.54296875" style="98" bestFit="1" customWidth="1"/>
    <col min="11" max="11" width="9.7265625" style="98" bestFit="1" customWidth="1"/>
    <col min="12" max="12" width="9.7265625" style="98" customWidth="1"/>
    <col min="13" max="16384" width="9.1796875" style="98"/>
  </cols>
  <sheetData>
    <row r="7" spans="1:13">
      <c r="A7" s="108"/>
      <c r="B7" s="150" t="s">
        <v>80</v>
      </c>
      <c r="C7" s="99"/>
      <c r="D7" s="99"/>
      <c r="E7" s="99"/>
      <c r="F7" s="99"/>
      <c r="G7" s="99"/>
      <c r="H7" s="99"/>
      <c r="I7" s="100"/>
      <c r="J7" s="176" t="s">
        <v>42</v>
      </c>
      <c r="K7" s="177"/>
      <c r="M7" s="145"/>
    </row>
    <row r="8" spans="1:13" ht="29.25" customHeight="1">
      <c r="A8" s="178" t="s">
        <v>43</v>
      </c>
      <c r="B8" s="179"/>
      <c r="C8" s="142"/>
      <c r="D8" s="99"/>
      <c r="E8" s="99"/>
      <c r="F8" s="99"/>
      <c r="G8" s="99"/>
      <c r="H8" s="99"/>
      <c r="I8" s="160" t="s">
        <v>44</v>
      </c>
      <c r="J8" s="160" t="s">
        <v>45</v>
      </c>
      <c r="K8" s="160" t="s">
        <v>46</v>
      </c>
      <c r="L8" s="160" t="s">
        <v>47</v>
      </c>
      <c r="M8" s="145"/>
    </row>
    <row r="9" spans="1:13" ht="15" customHeight="1">
      <c r="A9" s="180" t="s">
        <v>48</v>
      </c>
      <c r="B9" s="181"/>
      <c r="C9" s="142"/>
      <c r="D9" s="104"/>
      <c r="E9" s="104"/>
      <c r="F9" s="100"/>
      <c r="G9" s="100"/>
      <c r="H9" s="100"/>
      <c r="I9" s="156"/>
      <c r="J9" s="157"/>
      <c r="K9" s="156"/>
      <c r="L9" s="156"/>
      <c r="M9" s="145"/>
    </row>
    <row r="10" spans="1:13" ht="15" customHeight="1">
      <c r="A10" s="146"/>
      <c r="B10" s="105" t="s">
        <v>49</v>
      </c>
      <c r="C10" s="142"/>
      <c r="D10" s="104"/>
      <c r="E10" s="104"/>
      <c r="F10" s="100"/>
      <c r="G10" s="100"/>
      <c r="H10" s="100"/>
      <c r="I10" s="156"/>
      <c r="J10" s="157"/>
      <c r="K10" s="156"/>
      <c r="L10" s="156"/>
      <c r="M10" s="145"/>
    </row>
    <row r="11" spans="1:13" ht="15" customHeight="1">
      <c r="A11" s="146"/>
      <c r="B11" s="105" t="s">
        <v>50</v>
      </c>
      <c r="C11" s="142"/>
      <c r="D11" s="104"/>
      <c r="E11" s="104"/>
      <c r="F11" s="100"/>
      <c r="G11" s="100"/>
      <c r="H11" s="100"/>
      <c r="I11" s="156"/>
      <c r="J11" s="157"/>
      <c r="K11" s="156"/>
      <c r="L11" s="156"/>
      <c r="M11" s="146"/>
    </row>
    <row r="12" spans="1:13" ht="15" customHeight="1">
      <c r="A12" s="146"/>
      <c r="B12" s="105" t="s">
        <v>51</v>
      </c>
      <c r="C12" s="142"/>
      <c r="D12" s="104"/>
      <c r="E12" s="104"/>
      <c r="F12" s="100"/>
      <c r="G12" s="100"/>
      <c r="H12" s="100"/>
      <c r="I12" s="156"/>
      <c r="J12" s="157"/>
      <c r="K12" s="156"/>
      <c r="L12" s="156"/>
    </row>
    <row r="13" spans="1:13" ht="15" customHeight="1">
      <c r="A13" s="146"/>
      <c r="B13" s="105" t="s">
        <v>52</v>
      </c>
      <c r="C13" s="142"/>
      <c r="D13" s="104"/>
      <c r="E13" s="104"/>
      <c r="F13" s="100"/>
      <c r="G13" s="100"/>
      <c r="H13" s="100"/>
      <c r="I13" s="156"/>
      <c r="J13" s="157"/>
      <c r="K13" s="156"/>
      <c r="L13" s="156"/>
    </row>
    <row r="14" spans="1:13" ht="15" customHeight="1">
      <c r="A14" s="146"/>
      <c r="B14" s="105" t="s">
        <v>53</v>
      </c>
      <c r="C14" s="142"/>
      <c r="D14" s="104"/>
      <c r="E14" s="104"/>
      <c r="F14" s="100"/>
      <c r="G14" s="100"/>
      <c r="H14" s="100"/>
      <c r="I14" s="156"/>
      <c r="J14" s="157"/>
      <c r="K14" s="156"/>
      <c r="L14" s="156"/>
    </row>
    <row r="15" spans="1:13" ht="15" customHeight="1">
      <c r="A15" s="146"/>
      <c r="B15" s="141" t="s">
        <v>54</v>
      </c>
      <c r="C15" s="142"/>
      <c r="D15" s="103"/>
      <c r="E15" s="103"/>
      <c r="F15" s="103"/>
      <c r="G15" s="103"/>
      <c r="H15" s="103"/>
      <c r="I15" s="156"/>
      <c r="J15" s="157"/>
      <c r="K15" s="156"/>
      <c r="L15" s="156"/>
    </row>
    <row r="16" spans="1:13" ht="15" customHeight="1">
      <c r="B16" s="107"/>
      <c r="C16" s="103"/>
      <c r="D16" s="103"/>
      <c r="E16" s="103"/>
      <c r="F16" s="103"/>
      <c r="G16" s="103"/>
      <c r="H16" s="103"/>
      <c r="I16" s="156"/>
      <c r="J16" s="157"/>
      <c r="K16" s="156"/>
      <c r="L16" s="156"/>
    </row>
    <row r="17" spans="1:12" ht="15" customHeight="1">
      <c r="B17" s="10"/>
      <c r="C17" s="102"/>
      <c r="D17" s="109"/>
      <c r="E17" s="109"/>
      <c r="F17" s="109"/>
      <c r="G17" s="102"/>
      <c r="H17" s="102"/>
      <c r="I17" s="156"/>
      <c r="J17" s="157"/>
      <c r="K17" s="156"/>
      <c r="L17" s="156"/>
    </row>
    <row r="18" spans="1:12" ht="15" customHeight="1" thickBot="1">
      <c r="B18" s="151" t="s">
        <v>55</v>
      </c>
      <c r="D18" s="109"/>
      <c r="E18" s="109"/>
      <c r="F18" s="109"/>
      <c r="G18" s="102"/>
      <c r="H18" s="102"/>
      <c r="I18" s="156"/>
      <c r="J18" s="157"/>
      <c r="K18" s="156"/>
      <c r="L18" s="156"/>
    </row>
    <row r="19" spans="1:12" ht="15" customHeight="1" thickBot="1">
      <c r="B19" s="106"/>
      <c r="C19" s="110" t="s">
        <v>56</v>
      </c>
      <c r="D19" s="111" t="s">
        <v>57</v>
      </c>
      <c r="E19" s="111" t="s">
        <v>58</v>
      </c>
      <c r="F19" s="112" t="s">
        <v>2</v>
      </c>
      <c r="G19" s="100"/>
      <c r="H19" s="100"/>
      <c r="I19" s="156"/>
      <c r="J19" s="156"/>
      <c r="K19" s="143"/>
      <c r="L19" s="143"/>
    </row>
    <row r="20" spans="1:12" ht="15" customHeight="1">
      <c r="B20" s="106"/>
      <c r="C20" s="113" t="s">
        <v>59</v>
      </c>
      <c r="D20" s="114" t="s">
        <v>59</v>
      </c>
      <c r="E20" s="115" t="s">
        <v>59</v>
      </c>
      <c r="F20" s="115" t="s">
        <v>59</v>
      </c>
      <c r="G20" s="100"/>
      <c r="H20" s="100"/>
      <c r="I20" s="156"/>
      <c r="J20" s="156"/>
      <c r="K20" s="143"/>
      <c r="L20" s="143"/>
    </row>
    <row r="21" spans="1:12" s="119" customFormat="1" ht="15" customHeight="1">
      <c r="A21" s="98"/>
      <c r="B21" s="105" t="s">
        <v>60</v>
      </c>
      <c r="C21" s="116">
        <f>Factors!B8*$C$15/100</f>
        <v>0</v>
      </c>
      <c r="D21" s="117">
        <f>Factors!C8*$C$15/100</f>
        <v>0</v>
      </c>
      <c r="E21" s="118">
        <f>Factors!D8*$C$15/100</f>
        <v>0</v>
      </c>
      <c r="F21" s="118">
        <f>Factors!E8*$C$15/100</f>
        <v>0</v>
      </c>
      <c r="G21" s="100"/>
      <c r="H21" s="100"/>
      <c r="I21" s="156"/>
      <c r="J21" s="156"/>
      <c r="K21" s="158"/>
      <c r="L21" s="158"/>
    </row>
    <row r="22" spans="1:12" ht="15" customHeight="1">
      <c r="B22" s="105" t="s">
        <v>61</v>
      </c>
      <c r="C22" s="116">
        <f>Factors!B9*$C$15/100</f>
        <v>0</v>
      </c>
      <c r="D22" s="117">
        <f>Factors!C9*$C$15/100</f>
        <v>0</v>
      </c>
      <c r="E22" s="118">
        <f>Factors!D9*$C$15/100</f>
        <v>0</v>
      </c>
      <c r="F22" s="118">
        <f>Factors!E9*$C$15/100</f>
        <v>0</v>
      </c>
      <c r="G22" s="100"/>
      <c r="H22" s="100"/>
      <c r="I22" s="156"/>
      <c r="J22" s="156"/>
      <c r="K22" s="143"/>
      <c r="L22" s="143"/>
    </row>
    <row r="23" spans="1:12" ht="15" customHeight="1">
      <c r="B23" s="105" t="s">
        <v>62</v>
      </c>
      <c r="C23" s="116" t="e">
        <f>$L$39/Factors!$B$3*Factors!B10*$C$15/100</f>
        <v>#DIV/0!</v>
      </c>
      <c r="D23" s="117" t="e">
        <f>$L$39/Factors!$B$3*Factors!C10*$C$15/100</f>
        <v>#DIV/0!</v>
      </c>
      <c r="E23" s="118" t="e">
        <f>$L$39/Factors!$B$3*Factors!D10*$C$15/100</f>
        <v>#DIV/0!</v>
      </c>
      <c r="F23" s="118" t="e">
        <f>$L$39/Factors!$B$3*Factors!E10*$C$15/100</f>
        <v>#DIV/0!</v>
      </c>
      <c r="G23" s="100"/>
      <c r="H23" s="100"/>
      <c r="I23" s="156"/>
      <c r="J23" s="156"/>
      <c r="K23" s="143"/>
      <c r="L23" s="143"/>
    </row>
    <row r="24" spans="1:12" ht="15" customHeight="1">
      <c r="A24" s="119"/>
      <c r="B24" s="105" t="s">
        <v>63</v>
      </c>
      <c r="C24" s="116" t="e">
        <f>$K$39/Factors!$B$4*Factors!B11*$C$15/100</f>
        <v>#DIV/0!</v>
      </c>
      <c r="D24" s="117" t="e">
        <f>$K$39/Factors!$B$4*Factors!C11*$C$15/100</f>
        <v>#DIV/0!</v>
      </c>
      <c r="E24" s="118" t="e">
        <f>$K$39/Factors!$B$4*Factors!D11*$C$15/100</f>
        <v>#DIV/0!</v>
      </c>
      <c r="F24" s="118" t="e">
        <f>$K$39/Factors!$B$4*Factors!E11*$C$15/100</f>
        <v>#DIV/0!</v>
      </c>
      <c r="G24" s="103"/>
      <c r="H24" s="103"/>
      <c r="I24" s="156"/>
      <c r="J24" s="156"/>
      <c r="K24" s="143"/>
      <c r="L24" s="143"/>
    </row>
    <row r="25" spans="1:12" ht="15" customHeight="1">
      <c r="B25" s="105"/>
      <c r="C25" s="120"/>
      <c r="D25" s="121"/>
      <c r="E25" s="122"/>
      <c r="F25" s="122"/>
      <c r="G25" s="100"/>
      <c r="H25" s="100"/>
      <c r="I25" s="156"/>
      <c r="J25" s="156"/>
      <c r="K25" s="143"/>
      <c r="L25" s="143"/>
    </row>
    <row r="26" spans="1:12" ht="15" customHeight="1">
      <c r="B26" s="105" t="s">
        <v>64</v>
      </c>
      <c r="C26" s="123" t="e">
        <f>(Factors!B8+Factors!B9+(Factors!B10*$L39/Factors!$B$3)+(Factors!B11*$K39/Factors!$B$4))</f>
        <v>#DIV/0!</v>
      </c>
      <c r="D26" s="123" t="e">
        <f>(Factors!C8+Factors!C9+(Factors!C10*$L39/Factors!$B$3)+(Factors!C11*$K39/Factors!$B$4))</f>
        <v>#DIV/0!</v>
      </c>
      <c r="E26" s="122" t="e">
        <f>(Factors!D8+Factors!D9+(Factors!D10*$L39/Factors!$B$3)+(Factors!D11*$K39/Factors!$B$4))</f>
        <v>#DIV/0!</v>
      </c>
      <c r="F26" s="122" t="e">
        <f>(Factors!E8+Factors!E9+(Factors!E10*$L39/Factors!$B$3)+(Factors!E11*$K39/Factors!$B$4))</f>
        <v>#DIV/0!</v>
      </c>
      <c r="G26" s="124"/>
      <c r="H26" s="124"/>
      <c r="I26" s="156"/>
      <c r="J26" s="156"/>
      <c r="K26" s="159"/>
      <c r="L26" s="143"/>
    </row>
    <row r="27" spans="1:12" ht="15" customHeight="1">
      <c r="B27" s="105"/>
      <c r="C27" s="120"/>
      <c r="D27" s="121"/>
      <c r="E27" s="122"/>
      <c r="F27" s="122"/>
      <c r="G27" s="100"/>
      <c r="H27" s="100"/>
      <c r="I27" s="156"/>
      <c r="J27" s="156"/>
      <c r="K27" s="143"/>
      <c r="L27" s="143"/>
    </row>
    <row r="28" spans="1:12" ht="15" customHeight="1">
      <c r="B28" s="105" t="s">
        <v>65</v>
      </c>
      <c r="C28" s="125" t="e">
        <f>SUM(C21:C24)</f>
        <v>#DIV/0!</v>
      </c>
      <c r="D28" s="126" t="e">
        <f>SUM(D21:D24)</f>
        <v>#DIV/0!</v>
      </c>
      <c r="E28" s="127" t="e">
        <f>SUM(E21:E24)</f>
        <v>#DIV/0!</v>
      </c>
      <c r="F28" s="127" t="e">
        <f>SUM(F21:F24)</f>
        <v>#DIV/0!</v>
      </c>
      <c r="G28" s="100"/>
      <c r="H28" s="100"/>
      <c r="I28" s="156"/>
      <c r="J28" s="156"/>
      <c r="K28" s="143"/>
      <c r="L28" s="143"/>
    </row>
    <row r="29" spans="1:12" ht="15" customHeight="1" thickBot="1">
      <c r="B29" s="106"/>
      <c r="C29" s="128"/>
      <c r="D29" s="129"/>
      <c r="E29" s="130"/>
      <c r="F29" s="130"/>
      <c r="G29" s="131"/>
      <c r="H29" s="131"/>
      <c r="I29" s="156"/>
      <c r="J29" s="156"/>
      <c r="K29" s="143"/>
      <c r="L29" s="143"/>
    </row>
    <row r="30" spans="1:12" ht="15" customHeight="1">
      <c r="B30" s="152" t="s">
        <v>66</v>
      </c>
      <c r="C30" s="132"/>
      <c r="D30" s="133"/>
      <c r="E30" s="134"/>
      <c r="F30" s="134"/>
      <c r="G30" s="104"/>
      <c r="H30" s="104"/>
      <c r="I30" s="156"/>
      <c r="J30" s="156"/>
      <c r="K30" s="143"/>
      <c r="L30" s="143"/>
    </row>
    <row r="31" spans="1:12" ht="15" customHeight="1">
      <c r="B31" s="105" t="s">
        <v>67</v>
      </c>
      <c r="C31" s="125">
        <f>C14*Factors!B14/100</f>
        <v>0</v>
      </c>
      <c r="D31" s="126">
        <f>C14*Factors!C14/100</f>
        <v>0</v>
      </c>
      <c r="E31" s="127">
        <f>C14*Factors!D14/100</f>
        <v>0</v>
      </c>
      <c r="F31" s="127">
        <f>C14*Factors!E14/100</f>
        <v>0</v>
      </c>
      <c r="G31" s="124"/>
      <c r="H31" s="124"/>
      <c r="I31" s="156"/>
      <c r="J31" s="156"/>
      <c r="K31" s="143"/>
      <c r="L31" s="143"/>
    </row>
    <row r="32" spans="1:12" ht="15" customHeight="1">
      <c r="B32" s="105"/>
      <c r="C32" s="135"/>
      <c r="D32" s="117"/>
      <c r="E32" s="118"/>
      <c r="F32" s="118"/>
      <c r="G32" s="136"/>
      <c r="H32" s="136"/>
      <c r="I32" s="156"/>
      <c r="J32" s="156"/>
      <c r="K32" s="143"/>
      <c r="L32" s="143"/>
    </row>
    <row r="33" spans="1:12" ht="15" customHeight="1">
      <c r="B33" s="105" t="s">
        <v>68</v>
      </c>
      <c r="C33" s="125">
        <f>IF(C8="NO",(Factors!B17/12*C9))+IF(C8="YES",(Factors!B16/12*C9))</f>
        <v>0</v>
      </c>
      <c r="D33" s="126">
        <f>IF(C8="NO",(Factors!C17/12*C9))+IF(C8="YES",(Factors!C16/12*C9))</f>
        <v>0</v>
      </c>
      <c r="E33" s="127">
        <f>IF(C8="NO",(Factors!D17/12*C9))+IF(C8="YES",(Factors!D16/12*C9))</f>
        <v>0</v>
      </c>
      <c r="F33" s="127">
        <f>IF(C8="NO",(Factors!E17/12*C9))+IF(C8="YES",(Factors!E16/12*C9))</f>
        <v>0</v>
      </c>
      <c r="G33" s="136"/>
      <c r="H33" s="136"/>
      <c r="I33" s="156"/>
      <c r="J33" s="156"/>
      <c r="K33" s="143"/>
      <c r="L33" s="143"/>
    </row>
    <row r="34" spans="1:12" ht="15" customHeight="1">
      <c r="B34" s="105"/>
      <c r="C34" s="116"/>
      <c r="D34" s="117"/>
      <c r="E34" s="118"/>
      <c r="F34" s="118"/>
      <c r="G34" s="101"/>
      <c r="H34" s="101"/>
      <c r="I34" s="156"/>
      <c r="J34" s="156"/>
      <c r="K34" s="143"/>
      <c r="L34" s="143"/>
    </row>
    <row r="35" spans="1:12" ht="15" customHeight="1">
      <c r="B35" s="105" t="s">
        <v>69</v>
      </c>
      <c r="C35" s="125">
        <f>C31+C33</f>
        <v>0</v>
      </c>
      <c r="D35" s="126">
        <f>D31+D33</f>
        <v>0</v>
      </c>
      <c r="E35" s="127">
        <f>E31+E33</f>
        <v>0</v>
      </c>
      <c r="F35" s="127">
        <f>F31+F33</f>
        <v>0</v>
      </c>
      <c r="G35" s="124"/>
      <c r="H35" s="124"/>
      <c r="I35" s="156"/>
      <c r="J35" s="156"/>
      <c r="K35" s="143"/>
      <c r="L35" s="143"/>
    </row>
    <row r="36" spans="1:12" ht="15" customHeight="1" thickBot="1">
      <c r="B36" s="105"/>
      <c r="C36" s="135"/>
      <c r="D36" s="121"/>
      <c r="E36" s="122"/>
      <c r="F36" s="122"/>
      <c r="G36" s="136"/>
      <c r="H36" s="136"/>
      <c r="I36" s="156"/>
      <c r="J36" s="156"/>
      <c r="K36" s="143"/>
      <c r="L36" s="143"/>
    </row>
    <row r="37" spans="1:12" ht="15" customHeight="1" thickBot="1">
      <c r="B37" s="105" t="s">
        <v>70</v>
      </c>
      <c r="C37" s="137" t="e">
        <f>C28+C35</f>
        <v>#DIV/0!</v>
      </c>
      <c r="D37" s="138" t="e">
        <f>D28+D35</f>
        <v>#DIV/0!</v>
      </c>
      <c r="E37" s="139" t="e">
        <f>E28+E35</f>
        <v>#DIV/0!</v>
      </c>
      <c r="F37" s="139" t="e">
        <f>F28+F35</f>
        <v>#DIV/0!</v>
      </c>
      <c r="G37" s="124"/>
      <c r="H37" s="124"/>
      <c r="I37" s="156"/>
      <c r="J37" s="156"/>
      <c r="K37" s="143"/>
      <c r="L37" s="143"/>
    </row>
    <row r="38" spans="1:12" s="106" customFormat="1" ht="15" customHeight="1">
      <c r="A38" s="98"/>
      <c r="B38" s="98"/>
      <c r="I38" s="144"/>
      <c r="J38" s="144"/>
      <c r="K38" s="144"/>
      <c r="L38" s="144"/>
    </row>
    <row r="39" spans="1:12" ht="15" customHeight="1">
      <c r="A39" s="140"/>
      <c r="B39" s="153" t="s">
        <v>71</v>
      </c>
      <c r="C39" s="153" t="e">
        <f>IF(MIN($C$37:$F$37)=C37,"this one!","")</f>
        <v>#DIV/0!</v>
      </c>
      <c r="D39" s="153" t="e">
        <f>IF(MIN($C$37:$F$37)=D37,"this one!","")</f>
        <v>#DIV/0!</v>
      </c>
      <c r="E39" s="153" t="e">
        <f>IF(MIN($C$37:$F$37)=E37,"this one!","")</f>
        <v>#DIV/0!</v>
      </c>
      <c r="F39" s="153" t="e">
        <f>IF(MIN($C$37:$F$37)=F37,"this one!","")</f>
        <v>#DIV/0!</v>
      </c>
      <c r="I39" s="154"/>
      <c r="J39" s="153" t="s">
        <v>72</v>
      </c>
      <c r="K39" s="155" t="e">
        <f>AVERAGE(K9:K38)</f>
        <v>#DIV/0!</v>
      </c>
      <c r="L39" s="155" t="e">
        <f>AVERAGE(L9:L38)</f>
        <v>#DIV/0!</v>
      </c>
    </row>
    <row r="40" spans="1:12" ht="15" customHeight="1"/>
    <row r="41" spans="1:12" ht="15" customHeight="1">
      <c r="A41" s="106"/>
      <c r="B41" s="106"/>
      <c r="C41" s="147"/>
      <c r="D41" s="148"/>
    </row>
    <row r="42" spans="1:12" ht="15" customHeight="1">
      <c r="C42" s="149"/>
      <c r="D42" s="148"/>
    </row>
    <row r="43" spans="1:12" ht="15" customHeight="1">
      <c r="C43" s="149"/>
    </row>
    <row r="44" spans="1:12" ht="13.75" customHeight="1"/>
    <row r="45" spans="1:12" ht="13.75" customHeight="1"/>
    <row r="46" spans="1:12" ht="13.75" customHeight="1"/>
    <row r="47" spans="1:12" ht="13.75" customHeight="1"/>
    <row r="48" spans="1:12" ht="13.75" customHeight="1"/>
    <row r="49" ht="13.75" customHeight="1"/>
    <row r="50" ht="13.75" customHeight="1"/>
    <row r="51" ht="13.75" customHeight="1"/>
    <row r="52" ht="13.75" customHeight="1"/>
    <row r="53" ht="13.75" customHeight="1"/>
    <row r="54" ht="13.75" customHeight="1"/>
    <row r="55" ht="13.75" customHeight="1"/>
    <row r="56" ht="13.75" customHeight="1"/>
    <row r="57" ht="13.75" customHeight="1"/>
    <row r="58" ht="13.75" customHeight="1"/>
    <row r="59" ht="13.75" customHeight="1"/>
  </sheetData>
  <mergeCells count="3">
    <mergeCell ref="J7:K7"/>
    <mergeCell ref="A8:B8"/>
    <mergeCell ref="A9:B9"/>
  </mergeCells>
  <phoneticPr fontId="0" type="noConversion"/>
  <pageMargins left="0.75" right="0.75" top="1" bottom="1" header="0.5" footer="0.5"/>
  <pageSetup paperSize="9" scale="73" orientation="landscape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tabSelected="1" workbookViewId="0">
      <selection activeCell="K26" sqref="K26"/>
    </sheetView>
  </sheetViews>
  <sheetFormatPr defaultColWidth="9.1796875" defaultRowHeight="12.5"/>
  <cols>
    <col min="1" max="1" width="47.453125" style="12" bestFit="1" customWidth="1"/>
    <col min="2" max="4" width="9.1796875" style="12"/>
    <col min="5" max="5" width="10.1796875" style="12" customWidth="1"/>
    <col min="6" max="6" width="9.1796875" style="12"/>
    <col min="7" max="7" width="10" style="12" customWidth="1"/>
    <col min="8" max="8" width="12.54296875" style="12" customWidth="1"/>
    <col min="9" max="9" width="10.7265625" style="12" customWidth="1"/>
    <col min="10" max="10" width="14.7265625" style="12" customWidth="1"/>
    <col min="11" max="11" width="13" style="12" customWidth="1"/>
    <col min="12" max="12" width="11.81640625" style="12" customWidth="1"/>
    <col min="13" max="13" width="22.54296875" style="12" customWidth="1"/>
    <col min="14" max="16384" width="9.1796875" style="12"/>
  </cols>
  <sheetData>
    <row r="1" spans="1:14" ht="15.5">
      <c r="A1" s="11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4">
      <c r="A2" s="10"/>
      <c r="B2" s="4"/>
      <c r="C2" s="4"/>
      <c r="D2" s="4"/>
      <c r="E2" s="4"/>
      <c r="F2" s="90"/>
      <c r="G2" s="90"/>
      <c r="H2" s="90"/>
      <c r="I2" s="90"/>
      <c r="J2" s="90"/>
      <c r="K2" s="90"/>
      <c r="L2" s="90"/>
      <c r="M2" s="90"/>
      <c r="N2" s="90"/>
    </row>
    <row r="3" spans="1:14" s="8" customFormat="1" ht="14">
      <c r="A3" s="7" t="s">
        <v>73</v>
      </c>
      <c r="B3" s="3">
        <v>633</v>
      </c>
      <c r="C3" s="4"/>
      <c r="D3" s="4"/>
      <c r="E3" s="4"/>
    </row>
    <row r="4" spans="1:14" s="8" customFormat="1" ht="14">
      <c r="A4" s="7" t="s">
        <v>74</v>
      </c>
      <c r="B4" s="3">
        <v>416</v>
      </c>
      <c r="C4" s="4"/>
      <c r="D4" s="4"/>
      <c r="E4" s="4"/>
    </row>
    <row r="5" spans="1:14" s="8" customFormat="1" ht="42">
      <c r="C5" s="4"/>
      <c r="D5" s="4"/>
      <c r="E5" s="4"/>
      <c r="G5" s="76"/>
      <c r="H5" s="77" t="s">
        <v>60</v>
      </c>
      <c r="I5" s="77" t="s">
        <v>61</v>
      </c>
      <c r="J5" s="77" t="s">
        <v>63</v>
      </c>
      <c r="K5" s="78" t="s">
        <v>62</v>
      </c>
      <c r="L5" s="79" t="s">
        <v>75</v>
      </c>
    </row>
    <row r="6" spans="1:14" s="8" customFormat="1" ht="14">
      <c r="A6" s="7"/>
      <c r="B6" s="24" t="s">
        <v>56</v>
      </c>
      <c r="C6" s="24" t="s">
        <v>57</v>
      </c>
      <c r="D6" s="24" t="s">
        <v>58</v>
      </c>
      <c r="E6" s="24" t="s">
        <v>2</v>
      </c>
      <c r="G6" s="80" t="s">
        <v>56</v>
      </c>
      <c r="H6" s="82">
        <f>B8</f>
        <v>0.34200000000000003</v>
      </c>
      <c r="I6" s="82">
        <f>B9</f>
        <v>0.55930000000000002</v>
      </c>
      <c r="J6" s="82">
        <f>B11</f>
        <v>0.31119999999999998</v>
      </c>
      <c r="K6" s="84">
        <f>B10</f>
        <v>0.61240000000000006</v>
      </c>
      <c r="L6" s="86">
        <f>B12</f>
        <v>12</v>
      </c>
    </row>
    <row r="7" spans="1:14" s="8" customFormat="1" ht="14">
      <c r="A7" s="7"/>
      <c r="B7" s="3" t="s">
        <v>31</v>
      </c>
      <c r="C7" s="3" t="s">
        <v>31</v>
      </c>
      <c r="D7" s="3" t="s">
        <v>31</v>
      </c>
      <c r="E7" s="3" t="s">
        <v>31</v>
      </c>
      <c r="G7" s="80" t="s">
        <v>57</v>
      </c>
      <c r="H7" s="82">
        <f>C8</f>
        <v>0.34200000000000003</v>
      </c>
      <c r="I7" s="82">
        <f>C9</f>
        <v>0.54479999999999995</v>
      </c>
      <c r="J7" s="82">
        <f>C11</f>
        <v>0.30309999999999998</v>
      </c>
      <c r="K7" s="84">
        <f>C10</f>
        <v>0.58250000000000002</v>
      </c>
      <c r="L7" s="86">
        <f>C12</f>
        <v>25</v>
      </c>
    </row>
    <row r="8" spans="1:14" s="8" customFormat="1" ht="14">
      <c r="A8" s="7" t="s">
        <v>60</v>
      </c>
      <c r="B8" s="25">
        <v>0.34200000000000003</v>
      </c>
      <c r="C8" s="25">
        <v>0.34200000000000003</v>
      </c>
      <c r="D8" s="25">
        <v>0.34200000000000003</v>
      </c>
      <c r="E8" s="25">
        <v>0.34200000000000003</v>
      </c>
      <c r="G8" s="80" t="s">
        <v>58</v>
      </c>
      <c r="H8" s="82">
        <f>D8</f>
        <v>0.34200000000000003</v>
      </c>
      <c r="I8" s="82">
        <f>D9</f>
        <v>0.5272</v>
      </c>
      <c r="J8" s="82">
        <f>D11</f>
        <v>0.29809999999999998</v>
      </c>
      <c r="K8" s="84">
        <f>D10</f>
        <v>0.55789999999999995</v>
      </c>
      <c r="L8" s="86">
        <f>D12</f>
        <v>75</v>
      </c>
    </row>
    <row r="9" spans="1:14" s="8" customFormat="1" ht="14">
      <c r="A9" s="7" t="s">
        <v>61</v>
      </c>
      <c r="B9" s="25">
        <v>0.55930000000000002</v>
      </c>
      <c r="C9" s="25">
        <v>0.54479999999999995</v>
      </c>
      <c r="D9" s="25">
        <v>0.5272</v>
      </c>
      <c r="E9" s="25">
        <v>0.48249999999999998</v>
      </c>
      <c r="G9" s="81" t="s">
        <v>2</v>
      </c>
      <c r="H9" s="83">
        <f>E8</f>
        <v>0.34200000000000003</v>
      </c>
      <c r="I9" s="83">
        <f>E9</f>
        <v>0.48249999999999998</v>
      </c>
      <c r="J9" s="83">
        <f>E11</f>
        <v>0.27200000000000002</v>
      </c>
      <c r="K9" s="85">
        <f>E10</f>
        <v>0.49480000000000002</v>
      </c>
      <c r="L9" s="87">
        <f>E12</f>
        <v>150</v>
      </c>
    </row>
    <row r="10" spans="1:14" s="8" customFormat="1" ht="14">
      <c r="A10" s="7" t="s">
        <v>62</v>
      </c>
      <c r="B10" s="25">
        <v>0.61240000000000006</v>
      </c>
      <c r="C10" s="25">
        <v>0.58250000000000002</v>
      </c>
      <c r="D10" s="25">
        <v>0.55789999999999995</v>
      </c>
      <c r="E10" s="25">
        <v>0.49480000000000002</v>
      </c>
    </row>
    <row r="11" spans="1:14" s="8" customFormat="1" ht="14">
      <c r="A11" s="7" t="s">
        <v>63</v>
      </c>
      <c r="B11" s="25">
        <v>0.31119999999999998</v>
      </c>
      <c r="C11" s="25">
        <v>0.30309999999999998</v>
      </c>
      <c r="D11" s="25">
        <v>0.29809999999999998</v>
      </c>
      <c r="E11" s="25">
        <v>0.27200000000000002</v>
      </c>
    </row>
    <row r="12" spans="1:14" s="8" customFormat="1" ht="14">
      <c r="A12" s="7" t="s">
        <v>75</v>
      </c>
      <c r="B12" s="25">
        <v>12</v>
      </c>
      <c r="C12" s="25">
        <v>25</v>
      </c>
      <c r="D12" s="25">
        <v>75</v>
      </c>
      <c r="E12" s="25">
        <v>150</v>
      </c>
    </row>
    <row r="13" spans="1:14" s="8" customFormat="1" ht="14">
      <c r="A13" s="7"/>
      <c r="B13" s="3"/>
      <c r="C13" s="3"/>
      <c r="D13" s="3"/>
      <c r="E13" s="3"/>
    </row>
    <row r="14" spans="1:14" s="8" customFormat="1" ht="14">
      <c r="A14" s="7" t="s">
        <v>76</v>
      </c>
      <c r="B14" s="5">
        <v>1.8368</v>
      </c>
      <c r="C14" s="5">
        <v>1.7876000000000001</v>
      </c>
      <c r="D14" s="5">
        <v>1.7341</v>
      </c>
      <c r="E14" s="5">
        <v>1.6845000000000001</v>
      </c>
    </row>
    <row r="15" spans="1:14" s="8" customFormat="1" ht="14"/>
    <row r="16" spans="1:14" s="8" customFormat="1" ht="14">
      <c r="A16" s="7" t="s">
        <v>77</v>
      </c>
      <c r="B16" s="5">
        <v>70.2</v>
      </c>
      <c r="C16" s="5">
        <v>112</v>
      </c>
      <c r="D16" s="5">
        <v>456</v>
      </c>
      <c r="E16" s="5">
        <v>2934</v>
      </c>
    </row>
    <row r="17" spans="1:13" s="8" customFormat="1" ht="14">
      <c r="A17" s="7" t="s">
        <v>78</v>
      </c>
      <c r="B17" s="5">
        <v>28.2</v>
      </c>
      <c r="C17" s="5">
        <v>52</v>
      </c>
      <c r="D17" s="5">
        <v>306</v>
      </c>
      <c r="E17" s="5">
        <v>1484</v>
      </c>
    </row>
    <row r="18" spans="1:13" s="8" customFormat="1" ht="14"/>
    <row r="19" spans="1:13" s="8" customFormat="1" ht="14"/>
    <row r="20" spans="1:13" s="8" customFormat="1" ht="14">
      <c r="A20" s="8" t="s">
        <v>79</v>
      </c>
      <c r="B20" s="26">
        <v>356</v>
      </c>
    </row>
    <row r="21" spans="1:13" s="8" customFormat="1" ht="14"/>
    <row r="22" spans="1:13" s="8" customFormat="1" ht="14">
      <c r="A22" s="3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8" customFormat="1" ht="14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8" customFormat="1" ht="14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8" customFormat="1" ht="14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8" customFormat="1" ht="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s="8" customFormat="1" ht="14">
      <c r="A27" s="13"/>
      <c r="B27" s="14"/>
      <c r="C27" s="14"/>
      <c r="D27" s="14"/>
      <c r="E27" s="14"/>
      <c r="F27" s="32"/>
      <c r="G27" s="4"/>
      <c r="H27" s="4"/>
      <c r="I27" s="4"/>
      <c r="J27" s="32"/>
      <c r="K27" s="4"/>
      <c r="L27" s="4"/>
      <c r="M27" s="6"/>
    </row>
    <row r="28" spans="1:13" s="8" customFormat="1" ht="14">
      <c r="A28" s="15"/>
      <c r="B28" s="16"/>
      <c r="C28" s="16"/>
      <c r="D28" s="16"/>
      <c r="E28" s="16"/>
      <c r="F28" s="4"/>
      <c r="G28" s="6"/>
      <c r="H28" s="6"/>
      <c r="I28" s="6"/>
      <c r="J28" s="4"/>
      <c r="K28" s="6"/>
      <c r="L28" s="6"/>
      <c r="M28" s="6"/>
    </row>
    <row r="29" spans="1:13" s="8" customFormat="1" ht="14">
      <c r="A29" s="15"/>
      <c r="B29" s="16"/>
      <c r="C29" s="16"/>
      <c r="D29" s="16"/>
      <c r="E29" s="16"/>
      <c r="F29" s="4"/>
      <c r="G29" s="6"/>
      <c r="H29" s="6"/>
      <c r="I29" s="6"/>
      <c r="J29" s="4"/>
      <c r="K29" s="6"/>
      <c r="L29" s="6"/>
      <c r="M29" s="6"/>
    </row>
    <row r="30" spans="1:13" s="8" customFormat="1" ht="14">
      <c r="A30" s="13"/>
      <c r="B30" s="17"/>
      <c r="C30" s="18"/>
      <c r="D30" s="17"/>
      <c r="E30" s="18"/>
      <c r="F30" s="33"/>
      <c r="G30" s="24"/>
      <c r="H30" s="34"/>
      <c r="I30" s="24"/>
      <c r="J30" s="33"/>
      <c r="K30" s="24"/>
      <c r="L30" s="34"/>
      <c r="M30" s="6"/>
    </row>
    <row r="31" spans="1:13" s="8" customFormat="1" ht="14">
      <c r="A31" s="15"/>
      <c r="B31" s="18"/>
      <c r="C31" s="18"/>
      <c r="D31" s="18"/>
      <c r="E31" s="18"/>
      <c r="F31" s="24"/>
      <c r="G31" s="24"/>
      <c r="H31" s="24"/>
      <c r="I31" s="24"/>
      <c r="J31" s="24"/>
      <c r="K31" s="24"/>
      <c r="L31" s="24"/>
      <c r="M31" s="6"/>
    </row>
    <row r="32" spans="1:13" s="8" customFormat="1" ht="14">
      <c r="A32" s="15"/>
      <c r="B32" s="18"/>
      <c r="C32" s="18"/>
      <c r="D32" s="18"/>
      <c r="E32" s="18"/>
      <c r="F32" s="6"/>
      <c r="G32" s="6"/>
      <c r="H32" s="6"/>
      <c r="I32" s="6"/>
      <c r="J32" s="6"/>
      <c r="K32" s="6"/>
      <c r="L32" s="6"/>
      <c r="M32" s="6"/>
    </row>
    <row r="33" spans="1:13" s="8" customFormat="1" ht="14">
      <c r="A33" s="1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6"/>
    </row>
    <row r="34" spans="1:13" s="8" customFormat="1" ht="14">
      <c r="A34" s="15"/>
      <c r="B34" s="18"/>
      <c r="C34" s="18"/>
      <c r="D34" s="18"/>
      <c r="E34" s="18"/>
      <c r="F34" s="24"/>
      <c r="G34" s="6"/>
      <c r="H34" s="6"/>
      <c r="I34" s="6"/>
      <c r="J34" s="24"/>
      <c r="K34" s="6"/>
      <c r="L34" s="6"/>
      <c r="M34" s="6"/>
    </row>
    <row r="35" spans="1:13" s="8" customFormat="1" ht="14">
      <c r="A35" s="13"/>
      <c r="B35" s="30"/>
      <c r="C35" s="14"/>
      <c r="D35" s="18"/>
      <c r="E35" s="18"/>
      <c r="F35" s="6"/>
      <c r="G35" s="6"/>
      <c r="H35" s="6"/>
      <c r="I35" s="6"/>
      <c r="J35" s="6"/>
      <c r="K35" s="6"/>
      <c r="L35" s="6"/>
      <c r="M35" s="6"/>
    </row>
    <row r="36" spans="1:13" s="8" customFormat="1" ht="14">
      <c r="A36" s="15"/>
      <c r="B36" s="18"/>
      <c r="C36" s="18"/>
      <c r="D36" s="18"/>
      <c r="E36" s="18"/>
      <c r="F36" s="6"/>
      <c r="G36" s="6"/>
      <c r="H36" s="6"/>
      <c r="I36" s="6"/>
      <c r="J36" s="6"/>
      <c r="K36" s="6"/>
      <c r="L36" s="6"/>
      <c r="M36" s="6"/>
    </row>
    <row r="37" spans="1:13" s="8" customFormat="1" ht="14">
      <c r="A37" s="9"/>
      <c r="B37" s="4"/>
      <c r="C37" s="4"/>
      <c r="D37" s="32"/>
      <c r="E37" s="6"/>
      <c r="F37" s="6"/>
      <c r="G37" s="6"/>
      <c r="H37" s="6"/>
      <c r="I37" s="6"/>
      <c r="J37" s="6"/>
      <c r="K37" s="6"/>
      <c r="L37" s="6"/>
      <c r="M37" s="6"/>
    </row>
    <row r="38" spans="1:13" s="8" customFormat="1" ht="14">
      <c r="A38" s="6"/>
      <c r="B38" s="4"/>
      <c r="C38" s="4"/>
      <c r="D38" s="4"/>
      <c r="E38" s="6"/>
      <c r="F38" s="6"/>
      <c r="G38" s="6"/>
      <c r="H38" s="6"/>
      <c r="I38" s="6"/>
      <c r="J38" s="6"/>
      <c r="K38" s="6"/>
      <c r="L38" s="6"/>
      <c r="M38" s="6"/>
    </row>
    <row r="39" spans="1:13" s="8" customFormat="1" ht="14">
      <c r="A39" s="6"/>
      <c r="B39" s="4"/>
      <c r="C39" s="4"/>
      <c r="D39" s="4"/>
      <c r="E39" s="6"/>
      <c r="F39" s="6"/>
      <c r="G39" s="6"/>
      <c r="H39" s="6"/>
      <c r="I39" s="6"/>
      <c r="J39" s="6"/>
      <c r="K39" s="6"/>
      <c r="L39" s="6"/>
      <c r="M39" s="6"/>
    </row>
    <row r="40" spans="1:13" s="8" customFormat="1" ht="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8" customFormat="1" ht="14">
      <c r="A41" s="9"/>
      <c r="B41" s="24"/>
      <c r="C41" s="24"/>
      <c r="D41" s="35"/>
      <c r="E41" s="6"/>
      <c r="F41" s="6"/>
      <c r="G41" s="6"/>
      <c r="H41" s="6"/>
      <c r="I41" s="6"/>
      <c r="J41" s="6"/>
      <c r="K41" s="6"/>
      <c r="L41" s="6"/>
      <c r="M41" s="6"/>
    </row>
    <row r="42" spans="1:13" s="8" customFormat="1" ht="14">
      <c r="A42" s="6"/>
      <c r="B42" s="24"/>
      <c r="C42" s="24"/>
      <c r="D42" s="24"/>
      <c r="E42" s="6"/>
      <c r="F42" s="6"/>
      <c r="G42" s="6"/>
      <c r="H42" s="6"/>
      <c r="I42" s="6"/>
      <c r="J42" s="6"/>
      <c r="K42" s="6"/>
      <c r="L42" s="6"/>
      <c r="M42" s="6"/>
    </row>
    <row r="43" spans="1:13" s="8" customFormat="1" ht="1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8" customFormat="1" ht="14">
      <c r="A44" s="3"/>
      <c r="B44" s="3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8" customFormat="1" ht="1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8" customFormat="1" ht="1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8" customFormat="1" ht="14"/>
    <row r="48" spans="1:13" s="8" customFormat="1" ht="14"/>
    <row r="49" s="8" customFormat="1" ht="14"/>
    <row r="50" s="8" customFormat="1" ht="14"/>
    <row r="51" s="8" customFormat="1" ht="14"/>
    <row r="52" s="8" customFormat="1" ht="14"/>
    <row r="53" s="8" customFormat="1" ht="14"/>
    <row r="54" s="8" customFormat="1" ht="14"/>
    <row r="55" s="8" customFormat="1" ht="14"/>
    <row r="56" s="8" customFormat="1" ht="14"/>
    <row r="57" s="8" customFormat="1" ht="14"/>
    <row r="58" s="8" customFormat="1" ht="14"/>
    <row r="59" s="8" customFormat="1" ht="14"/>
    <row r="60" s="8" customFormat="1" ht="14"/>
    <row r="61" s="8" customFormat="1" ht="14"/>
    <row r="62" s="8" customFormat="1" ht="14"/>
  </sheetData>
  <phoneticPr fontId="0" type="noConversion"/>
  <pageMargins left="0.75" right="0.75" top="1" bottom="1" header="0.5" footer="0.5"/>
  <pageSetup paperSize="9" scale="9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Charges</vt:lpstr>
      <vt:lpstr>Factors</vt:lpstr>
    </vt:vector>
  </TitlesOfParts>
  <Manager/>
  <Company>Anglian Water Services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 Charges for 2005/2006</dc:title>
  <dc:subject/>
  <dc:creator>Andy West</dc:creator>
  <cp:keywords/>
  <dc:description/>
  <cp:lastModifiedBy>Lauren Gibson</cp:lastModifiedBy>
  <cp:revision/>
  <dcterms:created xsi:type="dcterms:W3CDTF">1998-06-23T10:39:02Z</dcterms:created>
  <dcterms:modified xsi:type="dcterms:W3CDTF">2023-04-05T08:40:52Z</dcterms:modified>
  <cp:category/>
  <cp:contentStatus/>
</cp:coreProperties>
</file>